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4.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3.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externalLinks/externalLink1.xml" ContentType="application/vnd.openxmlformats-officedocument.spreadsheetml.externalLink+xml"/>
  <Override PartName="/docProps/core.xml" ContentType="application/vnd.openxmlformats-package.core-properties+xml"/>
  <Override PartName="/xl/comments2.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xl/comments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O:\Departments\CS_Supply Chain Management\03_Templates Project Work\Standard VDB_PDS\Purchasing\"/>
    </mc:Choice>
  </mc:AlternateContent>
  <bookViews>
    <workbookView xWindow="0" yWindow="0" windowWidth="24000" windowHeight="9735"/>
  </bookViews>
  <sheets>
    <sheet name="CF-00169_Ver. 1.0" sheetId="1" r:id="rId1"/>
    <sheet name="Help" sheetId="3" r:id="rId2"/>
    <sheet name="Example" sheetId="5" r:id="rId3"/>
    <sheet name="Remarks" sheetId="2" state="hidden" r:id="rId4"/>
  </sheets>
  <externalReferences>
    <externalReference r:id="rId5"/>
  </externalReferences>
  <definedNames>
    <definedName name="_xlnm._FilterDatabase" localSheetId="0" hidden="1">'CF-00169_Ver. 1.0'!$U$10:$X$15</definedName>
    <definedName name="_xlnm._FilterDatabase" localSheetId="2" hidden="1">Example!$U$10:$X$15</definedName>
    <definedName name="_xlnm._FilterDatabase" localSheetId="3" hidden="1">Remarks!#REF!</definedName>
    <definedName name="Andrea_Grunwald__Global_Supply_Chain_Management__Tel.___423_399_71_27__andrea.grunwald_thyssenkrupp.com" localSheetId="2">#REF!+#REF!</definedName>
    <definedName name="Andrea_Grunwald__Global_Supply_Chain_Management__Tel.___423_399_71_27__andrea.grunwald_thyssenkrupp.com">#REF!+#REF!</definedName>
    <definedName name="_xlnm.Print_Area" localSheetId="0">'CF-00169_Ver. 1.0'!$A$1:$N$189</definedName>
    <definedName name="_xlnm.Print_Area" localSheetId="2">Example!$A$1:$N$189</definedName>
    <definedName name="_xlnm.Print_Area" localSheetId="3">Remarks!$A$1:$O$42</definedName>
    <definedName name="Kontaktperson" localSheetId="2">#REF!</definedName>
    <definedName name="Kontaktperson">#REF!</definedName>
    <definedName name="Kontaktpersonen" localSheetId="2">#REF!</definedName>
    <definedName name="Kontaktpersonen">#REF!</definedName>
    <definedName name="Währung">'[1]FS-01044'!$D$105:$D$109</definedName>
  </definedNames>
  <calcPr calcId="152511"/>
</workbook>
</file>

<file path=xl/calcChain.xml><?xml version="1.0" encoding="utf-8"?>
<calcChain xmlns="http://schemas.openxmlformats.org/spreadsheetml/2006/main">
  <c r="K63" i="5" l="1"/>
  <c r="M32" i="5"/>
  <c r="N43" i="5"/>
  <c r="L43" i="5"/>
  <c r="N42" i="5"/>
  <c r="L42" i="5"/>
  <c r="N41" i="5"/>
  <c r="L41" i="5"/>
  <c r="N40" i="5"/>
  <c r="L40" i="5"/>
  <c r="N39" i="5"/>
  <c r="L39" i="5"/>
  <c r="N38" i="5"/>
  <c r="L38" i="5"/>
  <c r="N37" i="5"/>
  <c r="L37" i="5"/>
  <c r="N36" i="5"/>
  <c r="L36" i="5"/>
  <c r="E29" i="5"/>
  <c r="K28" i="5"/>
  <c r="K29" i="5" s="1"/>
  <c r="K30" i="5" s="1"/>
  <c r="M27" i="5" s="1"/>
  <c r="M28" i="5" s="1"/>
  <c r="M29" i="5" s="1"/>
  <c r="M30" i="5" s="1"/>
  <c r="I27" i="5"/>
  <c r="K26" i="5"/>
  <c r="I26" i="5"/>
  <c r="L25" i="5"/>
  <c r="I25" i="5"/>
  <c r="L24" i="5"/>
  <c r="I24" i="5"/>
  <c r="I23" i="5"/>
  <c r="I22" i="5"/>
  <c r="X192" i="5" l="1"/>
  <c r="X193" i="5" s="1"/>
  <c r="X195" i="5" s="1"/>
  <c r="X197" i="5" s="1"/>
  <c r="X199" i="5" s="1"/>
  <c r="X201" i="5" s="1"/>
  <c r="X203" i="5" s="1"/>
  <c r="AB191" i="5"/>
  <c r="AB192" i="5" s="1"/>
  <c r="AB193" i="5" s="1"/>
  <c r="AB195" i="5" s="1"/>
  <c r="AB197" i="5" s="1"/>
  <c r="AB199" i="5" s="1"/>
  <c r="AB201" i="5" s="1"/>
  <c r="AB203" i="5" s="1"/>
  <c r="X191" i="5"/>
  <c r="U191" i="5"/>
  <c r="U192" i="5" s="1"/>
  <c r="U193" i="5" s="1"/>
  <c r="U195" i="5" s="1"/>
  <c r="U197" i="5" s="1"/>
  <c r="U199" i="5" s="1"/>
  <c r="U201" i="5" s="1"/>
  <c r="U203" i="5" s="1"/>
  <c r="M188" i="5"/>
  <c r="C187" i="5"/>
  <c r="G169" i="5"/>
  <c r="B169" i="5"/>
  <c r="C167" i="5"/>
  <c r="G149" i="5"/>
  <c r="B149" i="5"/>
  <c r="C147" i="5"/>
  <c r="G129" i="5"/>
  <c r="B129" i="5"/>
  <c r="C127" i="5"/>
  <c r="G109" i="5"/>
  <c r="B109" i="5"/>
  <c r="C107" i="5"/>
  <c r="G89" i="5"/>
  <c r="B89" i="5"/>
  <c r="J87" i="5"/>
  <c r="C87" i="5"/>
  <c r="J86" i="5"/>
  <c r="H86" i="5"/>
  <c r="G86" i="5"/>
  <c r="F86" i="5"/>
  <c r="C86" i="5"/>
  <c r="B86" i="5"/>
  <c r="J85" i="5"/>
  <c r="C85" i="5"/>
  <c r="B85" i="5"/>
  <c r="C84" i="5"/>
  <c r="B84" i="5"/>
  <c r="B81" i="5"/>
  <c r="B77" i="5"/>
  <c r="M73" i="5"/>
  <c r="B70" i="5"/>
  <c r="L68" i="5"/>
  <c r="K68" i="5"/>
  <c r="D68" i="5"/>
  <c r="C68" i="5"/>
  <c r="B68" i="5"/>
  <c r="D67" i="5"/>
  <c r="C67" i="5"/>
  <c r="B67" i="5"/>
  <c r="D66" i="5"/>
  <c r="C66" i="5"/>
  <c r="B66" i="5"/>
  <c r="D65" i="5"/>
  <c r="C65" i="5"/>
  <c r="B65" i="5"/>
  <c r="J64" i="5"/>
  <c r="D64" i="5"/>
  <c r="C64" i="5"/>
  <c r="B64" i="5"/>
  <c r="D63" i="5"/>
  <c r="C63" i="5"/>
  <c r="B63" i="5"/>
  <c r="D62" i="5"/>
  <c r="C62" i="5"/>
  <c r="B62" i="5"/>
  <c r="D61" i="5"/>
  <c r="C61" i="5"/>
  <c r="B61" i="5"/>
  <c r="D60" i="5"/>
  <c r="C60" i="5"/>
  <c r="B60" i="5"/>
  <c r="K59" i="5"/>
  <c r="J59" i="5"/>
  <c r="E59" i="5"/>
  <c r="D59" i="5"/>
  <c r="C59" i="5"/>
  <c r="B59" i="5"/>
  <c r="J58" i="5"/>
  <c r="E58" i="5"/>
  <c r="E55" i="5"/>
  <c r="D55" i="5"/>
  <c r="B55" i="5"/>
  <c r="E54" i="5"/>
  <c r="D54" i="5"/>
  <c r="B54" i="5"/>
  <c r="M53" i="5"/>
  <c r="L53" i="5"/>
  <c r="J53" i="5"/>
  <c r="E53" i="5"/>
  <c r="D53" i="5"/>
  <c r="G54" i="5" s="1"/>
  <c r="B53" i="5"/>
  <c r="J52" i="5"/>
  <c r="G52" i="5"/>
  <c r="E52" i="5"/>
  <c r="C52" i="5"/>
  <c r="B52" i="5"/>
  <c r="B51" i="5"/>
  <c r="M49" i="5"/>
  <c r="J49" i="5"/>
  <c r="F49" i="5"/>
  <c r="B49" i="5"/>
  <c r="I84" i="5" s="1"/>
  <c r="M48" i="5"/>
  <c r="L48" i="5"/>
  <c r="J48" i="5"/>
  <c r="F48" i="5"/>
  <c r="C48" i="5"/>
  <c r="B48" i="5"/>
  <c r="M47" i="5"/>
  <c r="L47" i="5"/>
  <c r="J47" i="5"/>
  <c r="F47" i="5"/>
  <c r="D47" i="5"/>
  <c r="C47" i="5"/>
  <c r="C49" i="5" s="1"/>
  <c r="B47" i="5"/>
  <c r="J46" i="5"/>
  <c r="D46" i="5"/>
  <c r="B46" i="5"/>
  <c r="N45" i="5"/>
  <c r="L45" i="5"/>
  <c r="N44" i="5"/>
  <c r="L44" i="5"/>
  <c r="T40" i="5"/>
  <c r="V35" i="5"/>
  <c r="T35" i="5"/>
  <c r="N35" i="5"/>
  <c r="M35" i="5"/>
  <c r="H35" i="5"/>
  <c r="G35" i="5"/>
  <c r="F35" i="5"/>
  <c r="M34" i="5"/>
  <c r="L34" i="5"/>
  <c r="K34" i="5"/>
  <c r="C58" i="5" s="1"/>
  <c r="I34" i="5"/>
  <c r="F34" i="5"/>
  <c r="E34" i="5"/>
  <c r="D34" i="5"/>
  <c r="D58" i="5" s="1"/>
  <c r="C34" i="5"/>
  <c r="B34" i="5"/>
  <c r="B58" i="5" s="1"/>
  <c r="K33" i="5"/>
  <c r="I87" i="5" s="1"/>
  <c r="J33" i="5"/>
  <c r="I33" i="5"/>
  <c r="C33" i="5"/>
  <c r="K32" i="5"/>
  <c r="B87" i="5" s="1"/>
  <c r="J32" i="5"/>
  <c r="I32" i="5"/>
  <c r="C32" i="5"/>
  <c r="B32" i="5"/>
  <c r="AB30" i="5"/>
  <c r="AB29" i="5"/>
  <c r="AB31" i="5" s="1"/>
  <c r="U29" i="5"/>
  <c r="W32" i="5" s="1"/>
  <c r="B29" i="5"/>
  <c r="AB28" i="5"/>
  <c r="Y28" i="5"/>
  <c r="W28" i="5"/>
  <c r="U28" i="5"/>
  <c r="B27" i="5"/>
  <c r="I85" i="5" s="1"/>
  <c r="I86" i="5"/>
  <c r="B26" i="5"/>
  <c r="B25" i="5"/>
  <c r="B24" i="5"/>
  <c r="B23" i="5"/>
  <c r="B22" i="5"/>
  <c r="I20" i="5"/>
  <c r="B20" i="5"/>
  <c r="I19" i="5"/>
  <c r="B19" i="5"/>
  <c r="I18" i="5"/>
  <c r="B18" i="5"/>
  <c r="I17" i="5"/>
  <c r="B17" i="5"/>
  <c r="I16" i="5"/>
  <c r="B16" i="5"/>
  <c r="I15" i="5"/>
  <c r="B15" i="5"/>
  <c r="J14" i="5"/>
  <c r="I14" i="5"/>
  <c r="B14" i="5"/>
  <c r="J13" i="5"/>
  <c r="I13" i="5"/>
  <c r="B13" i="5"/>
  <c r="J12" i="5"/>
  <c r="I12" i="5"/>
  <c r="B12" i="5"/>
  <c r="J11" i="5"/>
  <c r="I11" i="5"/>
  <c r="B11" i="5"/>
  <c r="B10" i="5"/>
  <c r="B8" i="5"/>
  <c r="F6" i="5"/>
  <c r="K3" i="5"/>
  <c r="K2" i="5"/>
  <c r="W36" i="5" l="1"/>
  <c r="Y32" i="5"/>
  <c r="U32" i="5"/>
  <c r="L49" i="5"/>
  <c r="Y35" i="5"/>
  <c r="J84" i="5"/>
  <c r="W35" i="5"/>
  <c r="AB34" i="5"/>
  <c r="AB33" i="5"/>
  <c r="U35" i="5"/>
  <c r="G55" i="5"/>
  <c r="N48" i="5" s="1"/>
  <c r="N47" i="5" s="1"/>
  <c r="AB32" i="5"/>
  <c r="L54" i="5"/>
  <c r="L56" i="5"/>
  <c r="L55" i="5"/>
  <c r="V35" i="1"/>
  <c r="AB36" i="5" l="1"/>
  <c r="N49" i="5"/>
  <c r="J55" i="5"/>
  <c r="U36" i="5"/>
  <c r="Y36" i="5"/>
  <c r="I47" i="5" s="1"/>
  <c r="J54" i="5"/>
  <c r="M55" i="5"/>
  <c r="AB35" i="5"/>
  <c r="C47" i="1"/>
  <c r="D55" i="1"/>
  <c r="I48" i="5" l="1"/>
  <c r="I49" i="5"/>
  <c r="J56" i="5"/>
  <c r="M54" i="5"/>
  <c r="M56" i="5" s="1"/>
  <c r="E59" i="1"/>
  <c r="L36" i="1"/>
  <c r="L37" i="1"/>
  <c r="L38" i="1"/>
  <c r="L39" i="1"/>
  <c r="L40" i="1"/>
  <c r="L41" i="1"/>
  <c r="B24" i="1" l="1"/>
  <c r="D34" i="1" l="1"/>
  <c r="L25" i="1" l="1"/>
  <c r="L24" i="1"/>
  <c r="I25" i="1"/>
  <c r="D54" i="1" l="1"/>
  <c r="D53" i="1"/>
  <c r="G55" i="1" s="1"/>
  <c r="B25" i="1"/>
  <c r="B26" i="1"/>
  <c r="B10" i="1"/>
  <c r="I23" i="1" l="1"/>
  <c r="B23" i="1"/>
  <c r="E29" i="1"/>
  <c r="B29" i="1"/>
  <c r="B22" i="1" l="1"/>
  <c r="C52" i="1"/>
  <c r="K26" i="1" l="1"/>
  <c r="T40" i="1"/>
  <c r="J11" i="1"/>
  <c r="J14" i="1" l="1"/>
  <c r="J13" i="1"/>
  <c r="J12" i="1"/>
  <c r="D47" i="1" l="1"/>
  <c r="Y28" i="1"/>
  <c r="U29" i="1"/>
  <c r="U28" i="1"/>
  <c r="J48" i="1"/>
  <c r="J47" i="1"/>
  <c r="J49" i="1"/>
  <c r="J64" i="1"/>
  <c r="J59" i="1"/>
  <c r="J58" i="1"/>
  <c r="T35" i="1"/>
  <c r="B49" i="1"/>
  <c r="I84" i="1" s="1"/>
  <c r="C187" i="1"/>
  <c r="C167" i="1"/>
  <c r="C147" i="1"/>
  <c r="C127" i="1"/>
  <c r="C107" i="1"/>
  <c r="G169" i="1"/>
  <c r="G149" i="1"/>
  <c r="G129" i="1"/>
  <c r="G109" i="1"/>
  <c r="G89" i="1"/>
  <c r="B89" i="1"/>
  <c r="B169" i="1"/>
  <c r="B149" i="1"/>
  <c r="B129" i="1"/>
  <c r="B109" i="1"/>
  <c r="J86" i="1"/>
  <c r="I86" i="1"/>
  <c r="J85" i="1"/>
  <c r="B27" i="1"/>
  <c r="I85" i="1" s="1"/>
  <c r="J87" i="1"/>
  <c r="K33" i="1"/>
  <c r="I87" i="1" s="1"/>
  <c r="I22" i="1"/>
  <c r="C87" i="1"/>
  <c r="K32" i="1"/>
  <c r="B87" i="1" s="1"/>
  <c r="E58" i="1"/>
  <c r="D58" i="1"/>
  <c r="H86" i="1"/>
  <c r="G86" i="1"/>
  <c r="F86" i="1"/>
  <c r="C86" i="1"/>
  <c r="C85" i="1"/>
  <c r="B86" i="1"/>
  <c r="C32" i="1"/>
  <c r="C84" i="1"/>
  <c r="B85" i="1"/>
  <c r="B84" i="1"/>
  <c r="M188" i="1"/>
  <c r="M73" i="1"/>
  <c r="B81" i="1"/>
  <c r="B8" i="1"/>
  <c r="B77" i="1"/>
  <c r="G54" i="1"/>
  <c r="L54" i="1" s="1"/>
  <c r="L55" i="1"/>
  <c r="N37" i="1"/>
  <c r="N38" i="1"/>
  <c r="N39" i="1"/>
  <c r="N36" i="1"/>
  <c r="M47" i="1"/>
  <c r="M48" i="1"/>
  <c r="M49" i="1"/>
  <c r="AB28" i="1"/>
  <c r="AB30" i="1" s="1"/>
  <c r="AB29" i="1"/>
  <c r="AB31" i="1" s="1"/>
  <c r="F47" i="1"/>
  <c r="W28" i="1"/>
  <c r="X191" i="1"/>
  <c r="X192" i="1" s="1"/>
  <c r="X193" i="1" s="1"/>
  <c r="X195" i="1" s="1"/>
  <c r="X197" i="1" s="1"/>
  <c r="X199" i="1" s="1"/>
  <c r="X201" i="1" s="1"/>
  <c r="X203" i="1" s="1"/>
  <c r="U191" i="1"/>
  <c r="U192" i="1" s="1"/>
  <c r="U193" i="1" s="1"/>
  <c r="U195" i="1" s="1"/>
  <c r="U197" i="1" s="1"/>
  <c r="U199" i="1" s="1"/>
  <c r="U201" i="1" s="1"/>
  <c r="U203" i="1" s="1"/>
  <c r="AB191" i="1"/>
  <c r="AB192" i="1" s="1"/>
  <c r="AB193" i="1" s="1"/>
  <c r="AB195" i="1" s="1"/>
  <c r="AB197" i="1" s="1"/>
  <c r="AB199" i="1" s="1"/>
  <c r="AB201" i="1" s="1"/>
  <c r="AB203" i="1" s="1"/>
  <c r="N40" i="1"/>
  <c r="N41" i="1"/>
  <c r="N42" i="1"/>
  <c r="N43" i="1"/>
  <c r="N44" i="1"/>
  <c r="N45" i="1"/>
  <c r="B34" i="1"/>
  <c r="B58" i="1" s="1"/>
  <c r="I16" i="1"/>
  <c r="I14" i="1"/>
  <c r="K59" i="1"/>
  <c r="C34" i="1"/>
  <c r="E34" i="1"/>
  <c r="F34" i="1"/>
  <c r="I26" i="1"/>
  <c r="I24" i="1"/>
  <c r="I27" i="1"/>
  <c r="C33" i="1"/>
  <c r="B32" i="1"/>
  <c r="I20" i="1"/>
  <c r="I19" i="1"/>
  <c r="I18" i="1"/>
  <c r="I17" i="1"/>
  <c r="I15" i="1"/>
  <c r="I13" i="1"/>
  <c r="I12" i="1"/>
  <c r="I11" i="1"/>
  <c r="B20" i="1"/>
  <c r="B19" i="1"/>
  <c r="B18" i="1"/>
  <c r="B17" i="1"/>
  <c r="B16" i="1"/>
  <c r="B15" i="1"/>
  <c r="B14" i="1"/>
  <c r="B13" i="1"/>
  <c r="B12" i="1"/>
  <c r="B11" i="1"/>
  <c r="F6" i="1"/>
  <c r="K3" i="1"/>
  <c r="K2" i="1"/>
  <c r="L42" i="1"/>
  <c r="L43" i="1"/>
  <c r="C48" i="1" s="1"/>
  <c r="C49" i="1" s="1"/>
  <c r="Y35" i="1" s="1"/>
  <c r="L44" i="1"/>
  <c r="L45" i="1"/>
  <c r="J32" i="1"/>
  <c r="G52" i="1"/>
  <c r="B70" i="1"/>
  <c r="K28" i="1"/>
  <c r="K29" i="1" s="1"/>
  <c r="K30" i="1" s="1"/>
  <c r="M27" i="1" s="1"/>
  <c r="M28" i="1" s="1"/>
  <c r="M29" i="1" s="1"/>
  <c r="M30" i="1" s="1"/>
  <c r="I34" i="1"/>
  <c r="K68" i="1"/>
  <c r="L68" i="1"/>
  <c r="L5" i="2"/>
  <c r="C29" i="2" s="1"/>
  <c r="B53" i="1"/>
  <c r="J52" i="1"/>
  <c r="B55" i="1"/>
  <c r="B54" i="1"/>
  <c r="B52" i="1"/>
  <c r="E53" i="1"/>
  <c r="F49" i="1"/>
  <c r="F48" i="1"/>
  <c r="M53" i="1"/>
  <c r="K63" i="1"/>
  <c r="B14" i="2"/>
  <c r="B15" i="2" s="1"/>
  <c r="B16" i="2" s="1"/>
  <c r="B17" i="2" s="1"/>
  <c r="B18" i="2" s="1"/>
  <c r="B19" i="2" s="1"/>
  <c r="B20" i="2" s="1"/>
  <c r="B21" i="2" s="1"/>
  <c r="B22" i="2" s="1"/>
  <c r="B23" i="2" s="1"/>
  <c r="B24" i="2" s="1"/>
  <c r="B25" i="2" s="1"/>
  <c r="B26" i="2" s="1"/>
  <c r="B28" i="2" s="1"/>
  <c r="B29" i="2" s="1"/>
  <c r="B30" i="2" s="1"/>
  <c r="B31" i="2" s="1"/>
  <c r="B32" i="2" s="1"/>
  <c r="B51" i="1"/>
  <c r="E52" i="1"/>
  <c r="J53" i="1"/>
  <c r="E54" i="1"/>
  <c r="L53" i="1"/>
  <c r="E55" i="1"/>
  <c r="J46" i="1"/>
  <c r="D46" i="1"/>
  <c r="M35" i="1"/>
  <c r="K34" i="1"/>
  <c r="C58" i="1" s="1"/>
  <c r="B48" i="1"/>
  <c r="B47" i="1"/>
  <c r="B46" i="1"/>
  <c r="N35" i="1"/>
  <c r="M34" i="1"/>
  <c r="L34" i="1"/>
  <c r="I33" i="1"/>
  <c r="I32" i="1"/>
  <c r="H35" i="1"/>
  <c r="G35" i="1"/>
  <c r="F35" i="1"/>
  <c r="J33" i="1"/>
  <c r="D60" i="1"/>
  <c r="D61" i="1"/>
  <c r="D62" i="1"/>
  <c r="D63" i="1"/>
  <c r="D64" i="1"/>
  <c r="D65" i="1"/>
  <c r="D66" i="1"/>
  <c r="D67" i="1"/>
  <c r="D68" i="1"/>
  <c r="D59" i="1"/>
  <c r="B60" i="1"/>
  <c r="B61" i="1"/>
  <c r="B62" i="1"/>
  <c r="B63" i="1"/>
  <c r="B64" i="1"/>
  <c r="B65" i="1"/>
  <c r="B66" i="1"/>
  <c r="B67" i="1"/>
  <c r="B68" i="1"/>
  <c r="B59" i="1"/>
  <c r="C60" i="1"/>
  <c r="C61" i="1"/>
  <c r="C62" i="1"/>
  <c r="C63" i="1"/>
  <c r="C64" i="1"/>
  <c r="C65" i="1"/>
  <c r="C66" i="1"/>
  <c r="C67" i="1"/>
  <c r="C68" i="1"/>
  <c r="C59" i="1"/>
  <c r="W32" i="1" l="1"/>
  <c r="U32" i="1"/>
  <c r="L48" i="1"/>
  <c r="N48" i="1" s="1"/>
  <c r="L47" i="1"/>
  <c r="AB33" i="1"/>
  <c r="G27" i="2"/>
  <c r="L56" i="1"/>
  <c r="C32" i="2"/>
  <c r="C13" i="2"/>
  <c r="G21" i="2"/>
  <c r="C17" i="2"/>
  <c r="C22" i="2"/>
  <c r="G29" i="2"/>
  <c r="G30" i="2"/>
  <c r="B8" i="2"/>
  <c r="G20" i="2"/>
  <c r="G18" i="2"/>
  <c r="G31" i="2"/>
  <c r="U35" i="1"/>
  <c r="G16" i="2"/>
  <c r="C28" i="2"/>
  <c r="C25" i="2"/>
  <c r="C19" i="2"/>
  <c r="B7" i="2"/>
  <c r="Y32" i="1"/>
  <c r="Y36" i="1" s="1"/>
  <c r="I47" i="1" s="1"/>
  <c r="W35" i="1"/>
  <c r="C30" i="2"/>
  <c r="AB34" i="1"/>
  <c r="G13" i="2"/>
  <c r="C18" i="2"/>
  <c r="J84" i="1"/>
  <c r="C16" i="2"/>
  <c r="G28" i="2"/>
  <c r="AB32" i="1"/>
  <c r="C24" i="2"/>
  <c r="G17" i="2"/>
  <c r="C20" i="2"/>
  <c r="C23" i="2"/>
  <c r="G22" i="2"/>
  <c r="G26" i="2"/>
  <c r="C21" i="2"/>
  <c r="B6" i="2"/>
  <c r="G32" i="2"/>
  <c r="G25" i="2"/>
  <c r="B12" i="2"/>
  <c r="G24" i="2"/>
  <c r="C31" i="2"/>
  <c r="G15" i="2"/>
  <c r="G23" i="2"/>
  <c r="G19" i="2"/>
  <c r="G14" i="2"/>
  <c r="C14" i="2"/>
  <c r="B10" i="2"/>
  <c r="C15" i="2"/>
  <c r="C26" i="2"/>
  <c r="W36" i="1" l="1"/>
  <c r="U36" i="1"/>
  <c r="I49" i="1" s="1"/>
  <c r="N47" i="1"/>
  <c r="L49" i="1"/>
  <c r="AB35" i="1"/>
  <c r="AB36" i="1" s="1"/>
  <c r="J54" i="1" l="1"/>
  <c r="J55" i="1"/>
  <c r="M55" i="1" s="1"/>
  <c r="I48" i="1"/>
  <c r="N49" i="1"/>
  <c r="M54" i="1" l="1"/>
  <c r="M56" i="1" s="1"/>
  <c r="J56" i="1"/>
</calcChain>
</file>

<file path=xl/comments1.xml><?xml version="1.0" encoding="utf-8"?>
<comments xmlns="http://schemas.openxmlformats.org/spreadsheetml/2006/main">
  <authors>
    <author>bissan</author>
  </authors>
  <commentList>
    <comment ref="N34" authorId="0" shapeId="0">
      <text>
        <r>
          <rPr>
            <b/>
            <sz val="8"/>
            <color indexed="81"/>
            <rFont val="Tahoma"/>
            <family val="2"/>
          </rPr>
          <t>Please select the currency</t>
        </r>
      </text>
    </comment>
    <comment ref="B47" authorId="0" shapeId="0">
      <text>
        <r>
          <rPr>
            <b/>
            <sz val="8"/>
            <color indexed="81"/>
            <rFont val="Tahoma"/>
            <family val="2"/>
          </rPr>
          <t>Weight of Total weight of parts per HU</t>
        </r>
        <r>
          <rPr>
            <sz val="8"/>
            <color indexed="81"/>
            <rFont val="Tahoma"/>
            <family val="2"/>
          </rPr>
          <t xml:space="preserve">
</t>
        </r>
      </text>
    </comment>
    <comment ref="B48" authorId="0" shapeId="0">
      <text>
        <r>
          <rPr>
            <b/>
            <sz val="8"/>
            <color indexed="81"/>
            <rFont val="Tahoma"/>
            <family val="2"/>
          </rPr>
          <t>Weight of packaging components</t>
        </r>
        <r>
          <rPr>
            <sz val="8"/>
            <color indexed="81"/>
            <rFont val="Tahoma"/>
            <family val="2"/>
          </rPr>
          <t xml:space="preserve">
</t>
        </r>
      </text>
    </comment>
  </commentList>
</comments>
</file>

<file path=xl/comments2.xml><?xml version="1.0" encoding="utf-8"?>
<comments xmlns="http://schemas.openxmlformats.org/spreadsheetml/2006/main">
  <authors>
    <author>bissan</author>
  </authors>
  <commentList>
    <comment ref="N34" authorId="0" shapeId="0">
      <text>
        <r>
          <rPr>
            <b/>
            <sz val="8"/>
            <color indexed="81"/>
            <rFont val="Tahoma"/>
            <family val="2"/>
          </rPr>
          <t>Please select the currency</t>
        </r>
      </text>
    </comment>
    <comment ref="B47" authorId="0" shapeId="0">
      <text>
        <r>
          <rPr>
            <b/>
            <sz val="8"/>
            <color indexed="81"/>
            <rFont val="Tahoma"/>
            <family val="2"/>
          </rPr>
          <t>Weight of Total weight of parts per HU</t>
        </r>
        <r>
          <rPr>
            <sz val="8"/>
            <color indexed="81"/>
            <rFont val="Tahoma"/>
            <family val="2"/>
          </rPr>
          <t xml:space="preserve">
</t>
        </r>
      </text>
    </comment>
    <comment ref="B48" authorId="0" shapeId="0">
      <text>
        <r>
          <rPr>
            <b/>
            <sz val="8"/>
            <color indexed="81"/>
            <rFont val="Tahoma"/>
            <family val="2"/>
          </rPr>
          <t>Weight of packaging components</t>
        </r>
        <r>
          <rPr>
            <sz val="8"/>
            <color indexed="81"/>
            <rFont val="Tahoma"/>
            <family val="2"/>
          </rPr>
          <t xml:space="preserve">
</t>
        </r>
      </text>
    </comment>
  </commentList>
</comments>
</file>

<file path=xl/sharedStrings.xml><?xml version="1.0" encoding="utf-8"?>
<sst xmlns="http://schemas.openxmlformats.org/spreadsheetml/2006/main" count="344" uniqueCount="166">
  <si>
    <t>EUR</t>
  </si>
  <si>
    <t>GBP</t>
  </si>
  <si>
    <t>CNY</t>
  </si>
  <si>
    <t>BRL</t>
  </si>
  <si>
    <t>CHF</t>
  </si>
  <si>
    <t>ThyssenKrupp Presta Tec Center AG</t>
  </si>
  <si>
    <t>ThyssenKrupp Presta Ilsenburg GmbH</t>
  </si>
  <si>
    <t>ThyssenKrupp Presta Chemnitz GmbH</t>
  </si>
  <si>
    <t>ThyssenKrupp Presta Danville LLC</t>
  </si>
  <si>
    <t>ThyssenKrupp Presta Dalian Co. Ltd.</t>
  </si>
  <si>
    <t>US$</t>
  </si>
  <si>
    <t>INR</t>
  </si>
  <si>
    <t>20ft</t>
  </si>
  <si>
    <t>40ft</t>
  </si>
  <si>
    <t>manual</t>
  </si>
  <si>
    <t>Draft</t>
  </si>
  <si>
    <t>automatic</t>
  </si>
  <si>
    <t>Release</t>
  </si>
  <si>
    <t>Wirtschaftspark 37</t>
  </si>
  <si>
    <t>Veckenstedter Weg 16</t>
  </si>
  <si>
    <t>Heinrich-Lorenz-Strasse 57</t>
  </si>
  <si>
    <t>75 Walz Creek Drive</t>
  </si>
  <si>
    <t>Industrial area 48, Dalian Development area</t>
  </si>
  <si>
    <t>FL-9492 Eschen</t>
  </si>
  <si>
    <t>38871 Ilsenburg</t>
  </si>
  <si>
    <t>09120 Chemnitz</t>
  </si>
  <si>
    <t>68134 Danville IL</t>
  </si>
  <si>
    <t>116600 Dalian</t>
  </si>
  <si>
    <t>USA</t>
  </si>
  <si>
    <t>Deutsch</t>
  </si>
  <si>
    <t>English</t>
  </si>
  <si>
    <t>(kg)</t>
  </si>
  <si>
    <t>(lb)</t>
  </si>
  <si>
    <t>(mm)</t>
  </si>
  <si>
    <t>(inch)</t>
  </si>
  <si>
    <t>manuell</t>
  </si>
  <si>
    <t>automatisch</t>
  </si>
  <si>
    <t>Entwurf</t>
  </si>
  <si>
    <t>Freigabe</t>
  </si>
  <si>
    <t>automatique</t>
  </si>
  <si>
    <t>Projet</t>
  </si>
  <si>
    <t>Validation</t>
  </si>
  <si>
    <t>Français</t>
  </si>
  <si>
    <t>中文</t>
  </si>
  <si>
    <t>Portugues</t>
  </si>
  <si>
    <t>TK Presta Camshafts</t>
  </si>
  <si>
    <t>ThyssenKrupp Presta Camshafts</t>
  </si>
  <si>
    <t>Principality of Liechtenstein / Fürstentum Liechtenstein</t>
  </si>
  <si>
    <t>Germany / Deutschland</t>
  </si>
  <si>
    <t>People`s Republic of China / Volksrepublik China</t>
  </si>
  <si>
    <t>Sprache auswählen/Select language/Sélect langage/Idioma selecionar/选择语言/भाषा चुनें</t>
  </si>
  <si>
    <t>हिन्दी</t>
  </si>
  <si>
    <t>Paletten</t>
  </si>
  <si>
    <t>44 Tonnen LKW</t>
  </si>
  <si>
    <t>Width</t>
  </si>
  <si>
    <t>Height</t>
  </si>
  <si>
    <t>mm per inch</t>
  </si>
  <si>
    <t>Volume loading unit</t>
  </si>
  <si>
    <t>Lenght 1</t>
  </si>
  <si>
    <t>Lenght 2</t>
  </si>
  <si>
    <t>Weight 1</t>
  </si>
  <si>
    <t>Weight 2</t>
  </si>
  <si>
    <t>48-footer truck</t>
  </si>
  <si>
    <t>1 / 2</t>
  </si>
  <si>
    <t>2 / 2</t>
  </si>
  <si>
    <t>ThyssenKrupp Valvetrain GmbH</t>
  </si>
  <si>
    <t>Am Industriepark 1</t>
  </si>
  <si>
    <t>No.788 Huanghe West Road</t>
  </si>
  <si>
    <t>Xinbei District Changzhou, Jiangsu Province</t>
  </si>
  <si>
    <t>ThyssenKrupp Valvetrain China Ltd.</t>
  </si>
  <si>
    <t>Brazil / Brasilien</t>
  </si>
  <si>
    <t>ThyssenKrupp Brasil Ltda.</t>
  </si>
  <si>
    <t>ThyssenKrupp Brasil Ltda. Division Valvetrain</t>
  </si>
  <si>
    <t>Avenida Essen 1000, Distrito Industrial</t>
  </si>
  <si>
    <t>CEP 37701-970 Poços de Caldas,MG</t>
  </si>
  <si>
    <t>San Miguel de Allende</t>
  </si>
  <si>
    <t>Jasfenyszaru</t>
  </si>
  <si>
    <t>Incoterms 2010:</t>
  </si>
  <si>
    <t>1+0</t>
  </si>
  <si>
    <t>1+1</t>
  </si>
  <si>
    <t>1+2</t>
  </si>
  <si>
    <t>1+3</t>
  </si>
  <si>
    <t xml:space="preserve">1. Eine KLT / Kartonschachtel darf 15 kg / 33lbs Gesamtgewicht befüllt nicht überschreiten.                     
2. Labelling gemäss TK-Presta Labelling Richtline.
3. Die Verpackung muss geschützt vor Witterungseinflüssen gelagert werden.
4. Einwegverpackung ist vom Lieferanten zu stellen. 
5. Es ist die aktuelle Version des Logistiklastenheftes anzuwenden, sofern auf diesem Verpackungsdatenblatt keine Abweichungen schriftlich vermerkt worden sind.
6. Finale Mengen sowie die Nominierung wird vom Einkauf bekannt gegeben.                                            </t>
  </si>
  <si>
    <t xml:space="preserve">1. One cardboard box / returnable container should not exceed 15 kg/33 lb total weight when filled.
2. Labelling according to TK-Presta Labelling Guideline.
3. Outside storage of packaging material not permitted.
4. Disposable packaging shall be provided by supplier. 
5. Logistics specification, latest version, is to be applied unless exception clearly stated in this packaging data sheet.
6. Final quantity and nomination is communicated by the purchasing department.                                                  </t>
  </si>
  <si>
    <t>Packaging process</t>
  </si>
  <si>
    <t>Serial Packaging</t>
  </si>
  <si>
    <t>Prototype Packaging</t>
  </si>
  <si>
    <t>How to fill in all information in PDS:</t>
  </si>
  <si>
    <t>Creation date: current date</t>
  </si>
  <si>
    <t>Incoterms 2010: add Incoterm according to agreement with purchasing department</t>
  </si>
  <si>
    <t>Stacking factor: select the stacking factor of your packaging concept</t>
  </si>
  <si>
    <t>Part description: add all from offer request e.g. Tube, Lobe, Endpiece «Project name» etc.</t>
  </si>
  <si>
    <t>Material number tk: number is on drawing or in request (6 digit)</t>
  </si>
  <si>
    <t>Part-Weight: select «kg» or «lb» and add the part weight</t>
  </si>
  <si>
    <t>Anti-rust time: lengh of anti-rust time</t>
  </si>
  <si>
    <t>Corrosion protection medium: temporary corrosion protecion used (RP oils, VCI products, etc.) if required</t>
  </si>
  <si>
    <t>Life span (years): project life span in years</t>
  </si>
  <si>
    <t>2018: Change «2018» into the year of the project start</t>
  </si>
  <si>
    <t>Annual quantity: add the quantity per year provided by the purchasing department</t>
  </si>
  <si>
    <t>Ext. Dimensions: fill in the dimensions of the filled and empty packaging unit e.g. 800 x 1200 x 1000</t>
  </si>
  <si>
    <t xml:space="preserve">Filling qty/Handling Unit: quantity of parts in total per one handling unit </t>
  </si>
  <si>
    <t>Filling qty (Container/Box): quantity of parts in one box, tray, etc.</t>
  </si>
  <si>
    <t>Currency: select the currency of the packaging cost</t>
  </si>
  <si>
    <t>Packaging component: description of the packaging component e.g. cardboard box</t>
  </si>
  <si>
    <t>Weight: weight of one packaging component e.g. 0.5</t>
  </si>
  <si>
    <t>One Way/Returnable: write 1 if packaging component is one way, write 2 if returnable</t>
  </si>
  <si>
    <t>Ref. Number: only if available</t>
  </si>
  <si>
    <t>L/W/H: dimension of the packaging component, e.g. cardboard box = 200 x 300 x 150</t>
  </si>
  <si>
    <t>Packaging Supplier: who is responsible for organizing this packaging component?</t>
  </si>
  <si>
    <t>Number/HU: how many parts of this specific packaging component are on one HU? E.g. 20 cardboard boxes</t>
  </si>
  <si>
    <t>Piece/pcs: add the piece price for one packaging component, e.g. one cardboard box cost 0.5 EUR</t>
  </si>
  <si>
    <t>Supplier receives PDS with request for quotation – PDS need to be filled and send back before technical meeting</t>
  </si>
  <si>
    <t>PDS needs to be finalized and signed before nomination</t>
  </si>
  <si>
    <r>
      <rPr>
        <sz val="12"/>
        <color rgb="FF4B5564"/>
        <rFont val="TKTypeMedium"/>
        <family val="2"/>
      </rPr>
      <t xml:space="preserve">All logistic requirements are described in the </t>
    </r>
    <r>
      <rPr>
        <b/>
        <sz val="12"/>
        <color rgb="FF4B5564"/>
        <rFont val="TKTypeMedium"/>
        <family val="2"/>
      </rPr>
      <t>CD-00193 Logistiklastenheft_Logistic Specifications</t>
    </r>
  </si>
  <si>
    <t>Select the language to fill out the packaging data</t>
  </si>
  <si>
    <t>Select delivery/production site (if not already selected)</t>
  </si>
  <si>
    <t>Add your contact information</t>
  </si>
  <si>
    <t>Add tooling cost if required only for packaging</t>
  </si>
  <si>
    <t>Sign packaging data sheet</t>
  </si>
  <si>
    <t>Add pictures/exemplary pictures in the «photo»-space</t>
  </si>
  <si>
    <t>Add comments on how you plan to pack the parts, e.g. 1. Use clean EU-pallet, 2. Open new cardboard box etc.</t>
  </si>
  <si>
    <t>-</t>
  </si>
  <si>
    <t>AAA Company</t>
  </si>
  <si>
    <t xml:space="preserve">Endpiece </t>
  </si>
  <si>
    <t>4 month</t>
  </si>
  <si>
    <t>oil xyz</t>
  </si>
  <si>
    <t>FCA Example</t>
  </si>
  <si>
    <t>U-PAL U  Plastic</t>
  </si>
  <si>
    <t>thyssenkrupp</t>
  </si>
  <si>
    <t>RL-KLT 4147</t>
  </si>
  <si>
    <t>Cover U-PAL</t>
  </si>
  <si>
    <t>Divider</t>
  </si>
  <si>
    <t>Supplier</t>
  </si>
  <si>
    <t>TK-Presta Label Single</t>
  </si>
  <si>
    <t>TK-Presta Label Master</t>
  </si>
  <si>
    <t>Band</t>
  </si>
  <si>
    <t>CTX Paper</t>
  </si>
  <si>
    <t>1. Use clean pallet</t>
  </si>
  <si>
    <t>2. Add divider in KLT
3. Add 48 parts in one KLT</t>
  </si>
  <si>
    <t>4. Cover parts with CTX paper
5. Add Single Label to each KLT</t>
  </si>
  <si>
    <t>6. Place 8 KLTs per layer, 6 layers high</t>
  </si>
  <si>
    <t>7. Use 2 bands to strap the HU</t>
  </si>
  <si>
    <t>Source: CD-00193 Logistiklastenheft_Logistic Specifications, Version 1.0, p. 28/29</t>
  </si>
  <si>
    <t>(1)</t>
  </si>
  <si>
    <t>(2)</t>
  </si>
  <si>
    <t>(3)</t>
  </si>
  <si>
    <t>(4)</t>
  </si>
  <si>
    <t>(5)</t>
  </si>
  <si>
    <t>(6)</t>
  </si>
  <si>
    <t>(7)</t>
  </si>
  <si>
    <t>(8)</t>
  </si>
  <si>
    <t>(9)</t>
  </si>
  <si>
    <t>(10)</t>
  </si>
  <si>
    <t>(11)</t>
  </si>
  <si>
    <t>(12)</t>
  </si>
  <si>
    <t>(13)</t>
  </si>
  <si>
    <t>(14)</t>
  </si>
  <si>
    <t>(15)</t>
  </si>
  <si>
    <t>(16)</t>
  </si>
  <si>
    <t>(17)</t>
  </si>
  <si>
    <t>(18)</t>
  </si>
  <si>
    <t>(19)</t>
  </si>
  <si>
    <t>(20)</t>
  </si>
  <si>
    <t>(21)</t>
  </si>
  <si>
    <t>(22)</t>
  </si>
  <si>
    <t>(23)</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</si>
</sst>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809]dd\ mmmm\ yyyy;@"/>
    <numFmt numFmtId="165" formatCode="#,##0.0000"/>
    <numFmt numFmtId="166" formatCode="_-* #,##0.00\ [$€]_-;\-* #,##0.00\ [$€]_-;_-* &quot;-&quot;??\ [$€]_-;_-@_-"/>
    <numFmt numFmtId="167" formatCode="#,##0.00_ ;\-#,##0.00\ "/>
    <numFmt numFmtId="168" formatCode="0.000"/>
  </numFmts>
  <fonts count="32" x14ac:knownFonts="1">
    <font>
      <sz val="10"/>
      <name val="Arial"/>
    </font>
    <font>
      <sz val="10"/>
      <name val="Arial"/>
      <family val="2"/>
    </font>
    <font>
      <sz val="10"/>
      <name val="Arial"/>
      <family val="2"/>
    </font>
    <font>
      <sz val="10"/>
      <name val="Helv"/>
      <family val="2"/>
    </font>
    <font>
      <b/>
      <sz val="26"/>
      <name val="Arial"/>
      <family val="2"/>
    </font>
    <font>
      <sz val="8"/>
      <name val="Arial"/>
      <family val="2"/>
    </font>
    <font>
      <b/>
      <sz val="14"/>
      <name val="Arial"/>
      <family val="2"/>
    </font>
    <font>
      <sz val="14"/>
      <name val="Arial"/>
      <family val="2"/>
    </font>
    <font>
      <b/>
      <sz val="12"/>
      <name val="Arial"/>
      <family val="2"/>
    </font>
    <font>
      <sz val="10.5"/>
      <name val="Arial"/>
      <family val="2"/>
    </font>
    <font>
      <sz val="8"/>
      <color indexed="81"/>
      <name val="Tahoma"/>
      <family val="2"/>
    </font>
    <font>
      <b/>
      <sz val="8"/>
      <color indexed="81"/>
      <name val="Tahoma"/>
      <family val="2"/>
    </font>
    <font>
      <b/>
      <sz val="10"/>
      <name val="Arial"/>
      <family val="2"/>
    </font>
    <font>
      <b/>
      <sz val="10"/>
      <name val="Arial"/>
      <family val="2"/>
    </font>
    <font>
      <b/>
      <sz val="10"/>
      <color indexed="8"/>
      <name val="Arial"/>
      <family val="2"/>
    </font>
    <font>
      <b/>
      <sz val="16"/>
      <name val="Arial"/>
      <family val="2"/>
    </font>
    <font>
      <sz val="9"/>
      <name val="Arial"/>
      <family val="2"/>
    </font>
    <font>
      <b/>
      <sz val="22"/>
      <name val="Arial"/>
      <family val="2"/>
    </font>
    <font>
      <sz val="12"/>
      <name val="Arial"/>
      <family val="2"/>
    </font>
    <font>
      <sz val="10"/>
      <color indexed="9"/>
      <name val="Arial"/>
      <family val="2"/>
    </font>
    <font>
      <sz val="12"/>
      <name val="Arial"/>
      <family val="2"/>
    </font>
    <font>
      <b/>
      <sz val="11"/>
      <name val="TKTypeBold"/>
      <family val="2"/>
    </font>
    <font>
      <b/>
      <sz val="12"/>
      <name val="TKTypeBold"/>
      <family val="2"/>
    </font>
    <font>
      <sz val="11"/>
      <name val="Arial"/>
      <family val="2"/>
    </font>
    <font>
      <sz val="14"/>
      <name val="Arial"/>
      <family val="2"/>
    </font>
    <font>
      <sz val="10"/>
      <color theme="0"/>
      <name val="Arial"/>
      <family val="2"/>
    </font>
    <font>
      <b/>
      <sz val="10"/>
      <color theme="0"/>
      <name val="Arial"/>
      <family val="2"/>
    </font>
    <font>
      <sz val="12"/>
      <color theme="0"/>
      <name val="Arial"/>
      <family val="2"/>
    </font>
    <font>
      <sz val="11"/>
      <color theme="0"/>
      <name val="Calibri"/>
      <family val="2"/>
    </font>
    <font>
      <sz val="22"/>
      <color rgb="FF00A0F5"/>
      <name val="TKTypeMedium"/>
      <family val="2"/>
    </font>
    <font>
      <sz val="12"/>
      <color rgb="FF4B5564"/>
      <name val="TKTypeMedium"/>
      <family val="2"/>
    </font>
    <font>
      <b/>
      <sz val="12"/>
      <color rgb="FF4B5564"/>
      <name val="TKTypeMedium"/>
      <family val="2"/>
    </font>
  </fonts>
  <fills count="11">
    <fill>
      <patternFill patternType="none"/>
    </fill>
    <fill>
      <patternFill patternType="gray125"/>
    </fill>
    <fill>
      <patternFill patternType="solid">
        <fgColor indexed="9"/>
        <bgColor indexed="64"/>
      </patternFill>
    </fill>
    <fill>
      <patternFill patternType="gray125">
        <bgColor indexed="9"/>
      </patternFill>
    </fill>
    <fill>
      <patternFill patternType="gray0625">
        <bgColor indexed="9"/>
      </patternFill>
    </fill>
    <fill>
      <patternFill patternType="gray0625"/>
    </fill>
    <fill>
      <patternFill patternType="solid">
        <fgColor theme="0"/>
        <bgColor indexed="64"/>
      </patternFill>
    </fill>
    <fill>
      <patternFill patternType="solid">
        <fgColor rgb="FFC5C6C8"/>
        <bgColor indexed="64"/>
      </patternFill>
    </fill>
    <fill>
      <patternFill patternType="solid">
        <fgColor rgb="FFA2A3A5"/>
        <bgColor indexed="64"/>
      </patternFill>
    </fill>
    <fill>
      <patternFill patternType="solid">
        <fgColor rgb="FFB9DEFF"/>
        <bgColor indexed="64"/>
      </patternFill>
    </fill>
    <fill>
      <patternFill patternType="solid">
        <fgColor rgb="FFFFFF00"/>
        <bgColor indexed="64"/>
      </patternFill>
    </fill>
  </fills>
  <borders count="69">
    <border>
      <left/>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top/>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s>
  <cellStyleXfs count="4">
    <xf numFmtId="0" fontId="0" fillId="0" borderId="0"/>
    <xf numFmtId="166" fontId="1" fillId="0" borderId="0" applyFont="0" applyFill="0" applyBorder="0" applyAlignment="0" applyProtection="0"/>
    <xf numFmtId="9" fontId="1" fillId="0" borderId="0" applyFont="0" applyFill="0" applyBorder="0" applyAlignment="0" applyProtection="0"/>
    <xf numFmtId="0" fontId="3" fillId="0" borderId="0"/>
  </cellStyleXfs>
  <cellXfs count="628">
    <xf numFmtId="0" fontId="0" fillId="0" borderId="0" xfId="0"/>
    <xf numFmtId="0" fontId="2" fillId="2" borderId="1" xfId="0" applyFont="1" applyFill="1" applyBorder="1" applyAlignment="1" applyProtection="1">
      <alignment horizontal="left" vertical="top" wrapText="1"/>
      <protection hidden="1"/>
    </xf>
    <xf numFmtId="0" fontId="2" fillId="2" borderId="2" xfId="0" applyFont="1" applyFill="1" applyBorder="1" applyAlignment="1" applyProtection="1">
      <alignment horizontal="left" vertical="top" wrapText="1"/>
      <protection hidden="1"/>
    </xf>
    <xf numFmtId="0" fontId="2" fillId="2" borderId="3" xfId="0" applyFont="1" applyFill="1" applyBorder="1" applyAlignment="1" applyProtection="1">
      <alignment horizontal="left" vertical="top" wrapText="1"/>
      <protection hidden="1"/>
    </xf>
    <xf numFmtId="167" fontId="2" fillId="2" borderId="0" xfId="1" applyNumberFormat="1" applyFont="1" applyFill="1" applyBorder="1" applyAlignment="1" applyProtection="1">
      <alignment horizontal="center" vertical="center"/>
      <protection hidden="1"/>
    </xf>
    <xf numFmtId="168" fontId="2" fillId="2" borderId="0" xfId="0" applyNumberFormat="1" applyFont="1" applyFill="1" applyBorder="1" applyAlignment="1" applyProtection="1">
      <alignment horizontal="center" vertical="center"/>
      <protection hidden="1"/>
    </xf>
    <xf numFmtId="165" fontId="2" fillId="2" borderId="6" xfId="0" applyNumberFormat="1" applyFont="1" applyFill="1" applyBorder="1" applyAlignment="1" applyProtection="1">
      <alignment horizontal="center" vertical="center"/>
      <protection hidden="1"/>
    </xf>
    <xf numFmtId="165" fontId="2" fillId="2" borderId="7" xfId="0" applyNumberFormat="1" applyFont="1" applyFill="1" applyBorder="1" applyAlignment="1" applyProtection="1">
      <alignment horizontal="center" vertical="center"/>
      <protection hidden="1"/>
    </xf>
    <xf numFmtId="0" fontId="0" fillId="2" borderId="0" xfId="0" applyFill="1" applyProtection="1">
      <protection hidden="1"/>
    </xf>
    <xf numFmtId="0" fontId="13" fillId="2" borderId="0" xfId="0" applyFont="1" applyFill="1" applyProtection="1">
      <protection hidden="1"/>
    </xf>
    <xf numFmtId="0" fontId="0" fillId="2" borderId="0" xfId="0" applyFill="1" applyBorder="1" applyProtection="1">
      <protection hidden="1"/>
    </xf>
    <xf numFmtId="0" fontId="0" fillId="0" borderId="4" xfId="0" applyBorder="1" applyAlignment="1" applyProtection="1">
      <alignment horizontal="center" vertical="center" wrapText="1"/>
      <protection locked="0" hidden="1"/>
    </xf>
    <xf numFmtId="0" fontId="1" fillId="2" borderId="11" xfId="0" applyFont="1"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0" fillId="2" borderId="12" xfId="0" applyFill="1" applyBorder="1" applyAlignment="1" applyProtection="1">
      <alignment horizontal="center" vertical="center"/>
      <protection hidden="1"/>
    </xf>
    <xf numFmtId="0" fontId="1" fillId="0" borderId="12" xfId="0" applyFont="1" applyFill="1" applyBorder="1" applyAlignment="1" applyProtection="1">
      <alignment horizontal="center" vertical="center" wrapText="1"/>
      <protection locked="0" hidden="1"/>
    </xf>
    <xf numFmtId="0" fontId="0" fillId="2" borderId="4" xfId="0" applyFill="1" applyBorder="1" applyAlignment="1" applyProtection="1">
      <alignment horizontal="center" vertical="center"/>
      <protection hidden="1"/>
    </xf>
    <xf numFmtId="0" fontId="0" fillId="2" borderId="13" xfId="0" applyFill="1" applyBorder="1" applyAlignment="1" applyProtection="1">
      <alignment horizontal="center" vertical="center"/>
      <protection hidden="1"/>
    </xf>
    <xf numFmtId="4" fontId="0" fillId="2" borderId="4" xfId="0" applyNumberFormat="1" applyFill="1" applyBorder="1" applyAlignment="1" applyProtection="1">
      <alignment horizontal="center" vertical="center" wrapText="1"/>
      <protection hidden="1"/>
    </xf>
    <xf numFmtId="4" fontId="0" fillId="2" borderId="13" xfId="0" applyNumberFormat="1" applyFill="1" applyBorder="1" applyAlignment="1" applyProtection="1">
      <alignment horizontal="center" vertical="center" wrapText="1"/>
      <protection hidden="1"/>
    </xf>
    <xf numFmtId="4" fontId="1" fillId="2" borderId="14" xfId="0" applyNumberFormat="1" applyFont="1" applyFill="1" applyBorder="1" applyAlignment="1" applyProtection="1">
      <alignment horizontal="center"/>
      <protection hidden="1"/>
    </xf>
    <xf numFmtId="4" fontId="1" fillId="2" borderId="0" xfId="0" applyNumberFormat="1" applyFont="1" applyFill="1" applyBorder="1" applyAlignment="1" applyProtection="1">
      <alignment horizontal="center"/>
      <protection hidden="1"/>
    </xf>
    <xf numFmtId="0" fontId="0" fillId="2" borderId="0" xfId="0" applyFill="1" applyBorder="1" applyAlignment="1" applyProtection="1">
      <alignment wrapText="1"/>
      <protection hidden="1"/>
    </xf>
    <xf numFmtId="4" fontId="1" fillId="2" borderId="15" xfId="0" applyNumberFormat="1" applyFont="1" applyFill="1" applyBorder="1" applyAlignment="1" applyProtection="1">
      <alignment horizontal="center"/>
      <protection hidden="1"/>
    </xf>
    <xf numFmtId="0" fontId="9" fillId="2" borderId="0" xfId="0" applyFont="1" applyFill="1" applyBorder="1" applyAlignment="1" applyProtection="1">
      <alignment horizontal="left"/>
      <protection hidden="1"/>
    </xf>
    <xf numFmtId="4" fontId="9" fillId="2" borderId="0" xfId="0" applyNumberFormat="1" applyFont="1" applyFill="1" applyBorder="1" applyAlignment="1" applyProtection="1">
      <alignment horizontal="center"/>
      <protection hidden="1"/>
    </xf>
    <xf numFmtId="0" fontId="9" fillId="2" borderId="0" xfId="0" applyFont="1" applyFill="1" applyBorder="1" applyAlignment="1" applyProtection="1">
      <alignment horizontal="center"/>
      <protection hidden="1"/>
    </xf>
    <xf numFmtId="3" fontId="0" fillId="2" borderId="0" xfId="0" applyNumberFormat="1" applyFill="1" applyBorder="1" applyAlignment="1" applyProtection="1">
      <alignment horizontal="center" vertical="center" wrapText="1"/>
      <protection hidden="1"/>
    </xf>
    <xf numFmtId="0" fontId="0" fillId="2" borderId="0" xfId="0" applyFill="1" applyBorder="1" applyAlignment="1" applyProtection="1">
      <alignment horizontal="right" vertical="center" wrapText="1"/>
      <protection hidden="1"/>
    </xf>
    <xf numFmtId="0" fontId="0" fillId="2" borderId="0" xfId="0" applyFill="1" applyBorder="1" applyAlignment="1" applyProtection="1">
      <alignment horizontal="center" vertical="center"/>
      <protection hidden="1"/>
    </xf>
    <xf numFmtId="0" fontId="0" fillId="2" borderId="0" xfId="0" applyFill="1" applyBorder="1" applyAlignment="1" applyProtection="1">
      <alignment horizontal="left" vertical="top"/>
      <protection hidden="1"/>
    </xf>
    <xf numFmtId="0" fontId="0" fillId="2" borderId="0" xfId="0" applyFill="1" applyProtection="1">
      <protection locked="0" hidden="1"/>
    </xf>
    <xf numFmtId="3" fontId="2" fillId="3" borderId="13" xfId="0" applyNumberFormat="1" applyFont="1" applyFill="1" applyBorder="1" applyAlignment="1" applyProtection="1">
      <alignment horizontal="left" vertical="center" wrapText="1"/>
    </xf>
    <xf numFmtId="3" fontId="2" fillId="3" borderId="18" xfId="0" applyNumberFormat="1" applyFont="1" applyFill="1" applyBorder="1" applyAlignment="1" applyProtection="1">
      <alignment horizontal="left" vertical="center" wrapText="1"/>
    </xf>
    <xf numFmtId="0"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center" vertical="center" wrapText="1"/>
    </xf>
    <xf numFmtId="0" fontId="0" fillId="2" borderId="0" xfId="0" applyFill="1" applyAlignment="1" applyProtection="1">
      <alignment wrapText="1"/>
      <protection hidden="1"/>
    </xf>
    <xf numFmtId="0" fontId="0" fillId="2" borderId="0" xfId="0" applyFill="1" applyAlignment="1" applyProtection="1">
      <alignment wrapText="1"/>
      <protection locked="0" hidden="1"/>
    </xf>
    <xf numFmtId="0" fontId="0" fillId="2" borderId="5" xfId="0" applyFill="1" applyBorder="1" applyAlignment="1" applyProtection="1">
      <alignment wrapText="1"/>
    </xf>
    <xf numFmtId="0" fontId="19" fillId="2" borderId="0" xfId="0" applyFont="1" applyFill="1" applyProtection="1">
      <protection hidden="1"/>
    </xf>
    <xf numFmtId="0" fontId="18" fillId="2" borderId="4" xfId="0" applyFont="1" applyFill="1" applyBorder="1" applyAlignment="1" applyProtection="1">
      <alignment horizontal="center" wrapText="1"/>
      <protection hidden="1"/>
    </xf>
    <xf numFmtId="0" fontId="2" fillId="2" borderId="8" xfId="0" applyFont="1" applyFill="1" applyBorder="1" applyAlignment="1" applyProtection="1">
      <alignment horizontal="left" vertical="center" wrapText="1"/>
      <protection hidden="1"/>
    </xf>
    <xf numFmtId="3" fontId="2" fillId="2" borderId="2" xfId="3" applyNumberFormat="1" applyFont="1" applyFill="1" applyBorder="1" applyAlignment="1" applyProtection="1">
      <alignment vertical="center"/>
      <protection hidden="1"/>
    </xf>
    <xf numFmtId="3" fontId="2" fillId="2" borderId="8" xfId="3" applyNumberFormat="1" applyFont="1" applyFill="1" applyBorder="1" applyAlignment="1" applyProtection="1">
      <alignment vertical="center"/>
      <protection hidden="1"/>
    </xf>
    <xf numFmtId="3" fontId="2" fillId="2" borderId="4" xfId="3" applyNumberFormat="1" applyFont="1" applyFill="1" applyBorder="1" applyAlignment="1" applyProtection="1">
      <alignment horizontal="center" vertical="center"/>
      <protection hidden="1"/>
    </xf>
    <xf numFmtId="0" fontId="0" fillId="2" borderId="19" xfId="0" applyFill="1" applyBorder="1" applyProtection="1">
      <protection hidden="1"/>
    </xf>
    <xf numFmtId="0" fontId="0" fillId="2" borderId="20" xfId="0" applyFill="1" applyBorder="1" applyAlignment="1" applyProtection="1">
      <alignment horizontal="center"/>
      <protection locked="0" hidden="1"/>
    </xf>
    <xf numFmtId="3" fontId="2" fillId="2" borderId="22" xfId="3" applyNumberFormat="1" applyFont="1" applyFill="1" applyBorder="1" applyAlignment="1" applyProtection="1">
      <alignment horizontal="center" vertical="center"/>
      <protection hidden="1"/>
    </xf>
    <xf numFmtId="0" fontId="0" fillId="2" borderId="25" xfId="0" applyFill="1" applyBorder="1" applyProtection="1">
      <protection hidden="1"/>
    </xf>
    <xf numFmtId="0" fontId="21" fillId="0" borderId="0" xfId="0" applyFont="1"/>
    <xf numFmtId="0" fontId="0" fillId="2" borderId="0" xfId="0" applyFill="1" applyAlignment="1" applyProtection="1">
      <protection hidden="1"/>
    </xf>
    <xf numFmtId="0" fontId="22" fillId="0" borderId="0" xfId="0" applyFont="1"/>
    <xf numFmtId="0" fontId="5" fillId="2" borderId="0" xfId="0" applyFont="1" applyFill="1" applyProtection="1">
      <protection hidden="1"/>
    </xf>
    <xf numFmtId="0" fontId="2" fillId="2" borderId="15" xfId="0" applyNumberFormat="1" applyFont="1" applyFill="1" applyBorder="1" applyAlignment="1" applyProtection="1">
      <alignment horizontal="center" vertical="center"/>
      <protection hidden="1"/>
    </xf>
    <xf numFmtId="0" fontId="2" fillId="2" borderId="15" xfId="0" applyFont="1" applyFill="1" applyBorder="1" applyAlignment="1" applyProtection="1">
      <alignment horizontal="center" vertical="center"/>
      <protection hidden="1"/>
    </xf>
    <xf numFmtId="4" fontId="12" fillId="2" borderId="0" xfId="0" applyNumberFormat="1" applyFont="1" applyFill="1" applyBorder="1" applyAlignment="1" applyProtection="1">
      <alignment horizontal="center" vertical="center"/>
      <protection hidden="1"/>
    </xf>
    <xf numFmtId="4" fontId="14" fillId="2" borderId="0" xfId="0" applyNumberFormat="1" applyFont="1" applyFill="1" applyBorder="1" applyAlignment="1" applyProtection="1">
      <alignment horizontal="center" vertical="center"/>
      <protection hidden="1"/>
    </xf>
    <xf numFmtId="3" fontId="2" fillId="2" borderId="5" xfId="3" applyNumberFormat="1" applyFont="1" applyFill="1" applyBorder="1" applyAlignment="1" applyProtection="1">
      <alignment horizontal="center" vertical="center"/>
      <protection hidden="1"/>
    </xf>
    <xf numFmtId="3" fontId="2" fillId="2" borderId="30" xfId="3" applyNumberFormat="1" applyFont="1" applyFill="1" applyBorder="1" applyAlignment="1" applyProtection="1">
      <alignment horizontal="center" vertical="center"/>
      <protection hidden="1"/>
    </xf>
    <xf numFmtId="0" fontId="1" fillId="2" borderId="31" xfId="0" applyFont="1" applyFill="1" applyBorder="1" applyAlignment="1" applyProtection="1">
      <alignment horizontal="left"/>
      <protection hidden="1"/>
    </xf>
    <xf numFmtId="0" fontId="1" fillId="2" borderId="16" xfId="0" applyFont="1" applyFill="1" applyBorder="1" applyAlignment="1" applyProtection="1">
      <alignment horizontal="left"/>
      <protection hidden="1"/>
    </xf>
    <xf numFmtId="0" fontId="1" fillId="2" borderId="32" xfId="0" applyFont="1" applyFill="1" applyBorder="1" applyAlignment="1" applyProtection="1">
      <alignment horizontal="left"/>
      <protection hidden="1"/>
    </xf>
    <xf numFmtId="0" fontId="0" fillId="2" borderId="0" xfId="0" applyFill="1" applyProtection="1">
      <protection locked="0"/>
    </xf>
    <xf numFmtId="3" fontId="1" fillId="2" borderId="17" xfId="0" applyNumberFormat="1" applyFont="1" applyFill="1" applyBorder="1" applyAlignment="1" applyProtection="1">
      <alignment horizontal="center" vertical="center" wrapText="1"/>
      <protection hidden="1"/>
    </xf>
    <xf numFmtId="3" fontId="1" fillId="2" borderId="29" xfId="0" applyNumberFormat="1" applyFont="1" applyFill="1" applyBorder="1" applyAlignment="1" applyProtection="1">
      <alignment horizontal="center"/>
      <protection hidden="1"/>
    </xf>
    <xf numFmtId="3" fontId="2" fillId="2" borderId="1" xfId="3" applyNumberFormat="1" applyFont="1" applyFill="1" applyBorder="1" applyAlignment="1" applyProtection="1">
      <alignment vertical="center"/>
      <protection hidden="1"/>
    </xf>
    <xf numFmtId="3" fontId="2" fillId="2" borderId="12" xfId="3" applyNumberFormat="1" applyFont="1" applyFill="1" applyBorder="1" applyAlignment="1" applyProtection="1">
      <alignment horizontal="center" vertical="center"/>
      <protection hidden="1"/>
    </xf>
    <xf numFmtId="3" fontId="2" fillId="2" borderId="33" xfId="3" applyNumberFormat="1" applyFont="1" applyFill="1" applyBorder="1" applyAlignment="1" applyProtection="1">
      <alignment horizontal="center" vertical="center"/>
      <protection hidden="1"/>
    </xf>
    <xf numFmtId="0" fontId="0" fillId="2" borderId="20" xfId="0" applyFill="1" applyBorder="1" applyAlignment="1" applyProtection="1">
      <alignment horizontal="center" vertical="center" wrapText="1"/>
      <protection hidden="1"/>
    </xf>
    <xf numFmtId="0" fontId="0" fillId="0" borderId="25" xfId="0" applyBorder="1" applyAlignment="1" applyProtection="1">
      <alignment horizontal="center" vertical="center"/>
      <protection hidden="1"/>
    </xf>
    <xf numFmtId="0" fontId="0" fillId="2" borderId="10" xfId="0" applyFill="1" applyBorder="1" applyAlignment="1" applyProtection="1">
      <alignment horizontal="center" vertical="center"/>
      <protection hidden="1"/>
    </xf>
    <xf numFmtId="0" fontId="0" fillId="0" borderId="34"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1" fontId="0" fillId="4" borderId="36" xfId="0" applyNumberFormat="1" applyFill="1" applyBorder="1" applyAlignment="1" applyProtection="1">
      <alignment horizontal="center" vertical="center"/>
      <protection locked="0" hidden="1"/>
    </xf>
    <xf numFmtId="1" fontId="0" fillId="4" borderId="37" xfId="0" applyNumberFormat="1" applyFill="1" applyBorder="1" applyAlignment="1" applyProtection="1">
      <alignment horizontal="center" vertical="center"/>
      <protection locked="0" hidden="1"/>
    </xf>
    <xf numFmtId="1" fontId="0" fillId="2" borderId="15" xfId="0" applyNumberFormat="1" applyFill="1" applyBorder="1" applyAlignment="1" applyProtection="1">
      <alignment horizontal="center" vertical="center"/>
      <protection locked="0" hidden="1"/>
    </xf>
    <xf numFmtId="0" fontId="0" fillId="4" borderId="36" xfId="0" applyFill="1" applyBorder="1" applyAlignment="1" applyProtection="1">
      <protection hidden="1"/>
    </xf>
    <xf numFmtId="0" fontId="0" fillId="5" borderId="38" xfId="0" applyFill="1" applyBorder="1" applyProtection="1">
      <protection hidden="1"/>
    </xf>
    <xf numFmtId="2" fontId="0" fillId="5" borderId="39" xfId="0" applyNumberFormat="1" applyFill="1" applyBorder="1" applyAlignment="1" applyProtection="1">
      <alignment horizontal="center" vertical="center"/>
      <protection locked="0"/>
    </xf>
    <xf numFmtId="0" fontId="2" fillId="4" borderId="37" xfId="0" applyNumberFormat="1" applyFont="1" applyFill="1" applyBorder="1" applyAlignment="1" applyProtection="1">
      <alignment horizontal="center" vertical="center"/>
      <protection hidden="1"/>
    </xf>
    <xf numFmtId="0" fontId="2" fillId="5" borderId="37" xfId="0" applyFont="1" applyFill="1" applyBorder="1" applyAlignment="1" applyProtection="1">
      <alignment horizontal="center" vertical="center"/>
      <protection hidden="1"/>
    </xf>
    <xf numFmtId="0" fontId="0" fillId="5" borderId="40" xfId="0" applyFill="1" applyBorder="1" applyAlignment="1"/>
    <xf numFmtId="0" fontId="0" fillId="2" borderId="0" xfId="0" applyFill="1" applyProtection="1"/>
    <xf numFmtId="2" fontId="0" fillId="2" borderId="0" xfId="0" applyNumberFormat="1" applyFill="1" applyProtection="1"/>
    <xf numFmtId="0" fontId="0" fillId="2" borderId="0" xfId="0" applyFill="1" applyBorder="1" applyProtection="1">
      <protection locked="0"/>
    </xf>
    <xf numFmtId="0" fontId="0" fillId="2" borderId="19" xfId="0" applyFill="1" applyBorder="1" applyAlignment="1" applyProtection="1">
      <alignment horizontal="left" vertical="center" wrapText="1"/>
      <protection hidden="1"/>
    </xf>
    <xf numFmtId="0" fontId="5" fillId="2" borderId="26" xfId="0" applyFont="1" applyFill="1" applyBorder="1" applyAlignment="1" applyProtection="1">
      <alignment horizontal="left" vertical="center" wrapText="1"/>
      <protection hidden="1"/>
    </xf>
    <xf numFmtId="0" fontId="0" fillId="2" borderId="0" xfId="0" applyFill="1" applyBorder="1" applyProtection="1">
      <protection locked="0" hidden="1"/>
    </xf>
    <xf numFmtId="0" fontId="2" fillId="2" borderId="2" xfId="0" applyFont="1" applyFill="1" applyBorder="1" applyAlignment="1" applyProtection="1">
      <alignment horizontal="left" vertical="center" wrapText="1"/>
      <protection hidden="1"/>
    </xf>
    <xf numFmtId="0" fontId="0" fillId="2" borderId="6" xfId="0" applyFill="1" applyBorder="1" applyAlignment="1" applyProtection="1">
      <alignment horizontal="left" vertical="center"/>
      <protection hidden="1"/>
    </xf>
    <xf numFmtId="0" fontId="0" fillId="2" borderId="7" xfId="0" applyFill="1" applyBorder="1" applyAlignment="1" applyProtection="1">
      <alignment horizontal="left" vertical="center"/>
      <protection hidden="1"/>
    </xf>
    <xf numFmtId="0" fontId="0" fillId="2" borderId="0" xfId="0" applyFill="1" applyBorder="1" applyAlignment="1" applyProtection="1">
      <alignment horizontal="center" vertical="center" wrapText="1"/>
      <protection locked="0"/>
    </xf>
    <xf numFmtId="0" fontId="12" fillId="2" borderId="22" xfId="0" applyFont="1" applyFill="1" applyBorder="1" applyAlignment="1" applyProtection="1">
      <alignment horizontal="center"/>
      <protection locked="0" hidden="1"/>
    </xf>
    <xf numFmtId="49" fontId="12" fillId="2" borderId="23" xfId="0" applyNumberFormat="1" applyFont="1" applyFill="1" applyBorder="1" applyProtection="1">
      <protection locked="0" hidden="1"/>
    </xf>
    <xf numFmtId="0" fontId="2" fillId="2" borderId="8" xfId="0" applyFont="1" applyFill="1" applyBorder="1" applyAlignment="1" applyProtection="1">
      <alignment horizontal="left" vertical="top" wrapText="1"/>
      <protection hidden="1"/>
    </xf>
    <xf numFmtId="0" fontId="2" fillId="2" borderId="45" xfId="0" applyFont="1" applyFill="1" applyBorder="1" applyAlignment="1" applyProtection="1">
      <alignment horizontal="left" vertical="top" wrapText="1"/>
      <protection hidden="1"/>
    </xf>
    <xf numFmtId="3" fontId="2" fillId="2" borderId="45" xfId="0" applyNumberFormat="1" applyFont="1" applyFill="1" applyBorder="1" applyAlignment="1" applyProtection="1">
      <alignment horizontal="left" vertical="top" wrapText="1"/>
      <protection hidden="1"/>
    </xf>
    <xf numFmtId="0" fontId="0" fillId="2" borderId="0" xfId="0" applyFill="1" applyBorder="1" applyAlignment="1" applyProtection="1">
      <alignment horizontal="center" wrapText="1"/>
      <protection locked="0" hidden="1"/>
    </xf>
    <xf numFmtId="0" fontId="0" fillId="2" borderId="0" xfId="0" applyFill="1" applyBorder="1" applyAlignment="1" applyProtection="1">
      <alignment vertical="center" wrapText="1"/>
      <protection locked="0" hidden="1"/>
    </xf>
    <xf numFmtId="0" fontId="12" fillId="2" borderId="0" xfId="0" applyFont="1" applyFill="1" applyBorder="1" applyAlignment="1" applyProtection="1">
      <alignment horizontal="center" vertical="center" wrapText="1"/>
      <protection locked="0" hidden="1"/>
    </xf>
    <xf numFmtId="2" fontId="0" fillId="2" borderId="0" xfId="0" applyNumberFormat="1" applyFill="1" applyBorder="1" applyProtection="1"/>
    <xf numFmtId="0" fontId="0" fillId="0" borderId="18" xfId="0" applyFill="1" applyBorder="1" applyAlignment="1" applyProtection="1">
      <alignment horizontal="center"/>
      <protection locked="0" hidden="1"/>
    </xf>
    <xf numFmtId="1" fontId="0" fillId="0" borderId="21" xfId="0" applyNumberFormat="1" applyFill="1" applyBorder="1" applyAlignment="1" applyProtection="1">
      <alignment horizontal="center" vertical="center"/>
      <protection locked="0"/>
    </xf>
    <xf numFmtId="4" fontId="12" fillId="7" borderId="14" xfId="0" applyNumberFormat="1" applyFont="1" applyFill="1" applyBorder="1" applyAlignment="1" applyProtection="1">
      <alignment horizontal="center" vertical="center" wrapText="1"/>
      <protection hidden="1"/>
    </xf>
    <xf numFmtId="0" fontId="0" fillId="7" borderId="14" xfId="0" applyFill="1" applyBorder="1" applyAlignment="1" applyProtection="1">
      <alignment horizontal="center" vertical="center"/>
      <protection hidden="1"/>
    </xf>
    <xf numFmtId="168" fontId="12" fillId="7" borderId="41" xfId="0" applyNumberFormat="1" applyFont="1" applyFill="1" applyBorder="1" applyAlignment="1" applyProtection="1">
      <alignment horizontal="center" vertical="center"/>
      <protection hidden="1"/>
    </xf>
    <xf numFmtId="4" fontId="12" fillId="7" borderId="0" xfId="0" applyNumberFormat="1" applyFont="1" applyFill="1" applyBorder="1" applyAlignment="1" applyProtection="1">
      <alignment horizontal="center" vertical="center" wrapText="1"/>
      <protection hidden="1"/>
    </xf>
    <xf numFmtId="0" fontId="0" fillId="7" borderId="0" xfId="0" applyFill="1" applyBorder="1" applyAlignment="1" applyProtection="1">
      <alignment horizontal="center" vertical="center"/>
      <protection hidden="1"/>
    </xf>
    <xf numFmtId="168" fontId="12" fillId="7" borderId="17" xfId="0" applyNumberFormat="1" applyFont="1" applyFill="1" applyBorder="1" applyAlignment="1" applyProtection="1">
      <alignment horizontal="center" vertical="center"/>
      <protection hidden="1"/>
    </xf>
    <xf numFmtId="167" fontId="12" fillId="7" borderId="15" xfId="1" applyNumberFormat="1" applyFont="1" applyFill="1" applyBorder="1" applyAlignment="1" applyProtection="1">
      <alignment horizontal="center" vertical="center"/>
      <protection hidden="1"/>
    </xf>
    <xf numFmtId="0" fontId="0" fillId="7" borderId="15" xfId="0" applyFill="1" applyBorder="1" applyAlignment="1" applyProtection="1">
      <alignment horizontal="center" vertical="center"/>
      <protection hidden="1"/>
    </xf>
    <xf numFmtId="168" fontId="12" fillId="7" borderId="29" xfId="0" applyNumberFormat="1" applyFont="1" applyFill="1" applyBorder="1" applyAlignment="1" applyProtection="1">
      <alignment horizontal="center" vertical="center"/>
      <protection hidden="1"/>
    </xf>
    <xf numFmtId="3" fontId="0" fillId="7" borderId="11" xfId="0" applyNumberFormat="1" applyFill="1" applyBorder="1" applyAlignment="1" applyProtection="1">
      <alignment horizontal="center" vertical="center" wrapText="1"/>
      <protection locked="0"/>
    </xf>
    <xf numFmtId="0" fontId="2" fillId="7" borderId="11" xfId="0" applyFont="1" applyFill="1" applyBorder="1" applyAlignment="1" applyProtection="1">
      <alignment vertical="center"/>
      <protection locked="0"/>
    </xf>
    <xf numFmtId="0" fontId="2" fillId="7" borderId="0" xfId="0" applyFont="1" applyFill="1" applyBorder="1" applyAlignment="1" applyProtection="1">
      <alignment vertical="center"/>
      <protection locked="0"/>
    </xf>
    <xf numFmtId="0" fontId="0" fillId="2" borderId="0" xfId="0" applyFill="1" applyBorder="1" applyAlignment="1" applyProtection="1">
      <protection hidden="1"/>
    </xf>
    <xf numFmtId="0" fontId="1" fillId="9" borderId="2" xfId="0" applyFont="1" applyFill="1" applyBorder="1" applyAlignment="1" applyProtection="1">
      <alignment horizontal="left" vertical="center" wrapText="1"/>
      <protection locked="0"/>
    </xf>
    <xf numFmtId="4" fontId="1" fillId="9" borderId="4" xfId="0" applyNumberFormat="1" applyFont="1" applyFill="1" applyBorder="1" applyAlignment="1" applyProtection="1">
      <alignment horizontal="center" vertical="center"/>
      <protection locked="0"/>
    </xf>
    <xf numFmtId="0" fontId="0" fillId="9" borderId="4" xfId="0" applyFill="1" applyBorder="1" applyAlignment="1" applyProtection="1">
      <alignment horizontal="center" vertical="center"/>
      <protection locked="0"/>
    </xf>
    <xf numFmtId="3" fontId="0" fillId="9" borderId="4" xfId="0" applyNumberFormat="1" applyFill="1" applyBorder="1" applyAlignment="1" applyProtection="1">
      <alignment horizontal="center" vertical="center"/>
      <protection locked="0"/>
    </xf>
    <xf numFmtId="4" fontId="0" fillId="9" borderId="4" xfId="0" applyNumberFormat="1" applyFill="1" applyBorder="1" applyAlignment="1" applyProtection="1">
      <alignment horizontal="center" vertical="center"/>
      <protection locked="0"/>
    </xf>
    <xf numFmtId="0" fontId="0" fillId="9" borderId="8" xfId="0" applyFill="1" applyBorder="1" applyAlignment="1" applyProtection="1">
      <alignment horizontal="left" vertical="center" wrapText="1"/>
      <protection locked="0"/>
    </xf>
    <xf numFmtId="4" fontId="0" fillId="9" borderId="5" xfId="0" applyNumberFormat="1" applyFill="1" applyBorder="1" applyAlignment="1" applyProtection="1">
      <alignment horizontal="center" vertical="center"/>
      <protection locked="0"/>
    </xf>
    <xf numFmtId="0" fontId="0" fillId="9" borderId="5" xfId="0" applyFill="1" applyBorder="1" applyAlignment="1" applyProtection="1">
      <alignment horizontal="center" vertical="center"/>
      <protection locked="0"/>
    </xf>
    <xf numFmtId="0" fontId="0" fillId="9" borderId="9" xfId="0" applyFill="1" applyBorder="1" applyAlignment="1" applyProtection="1">
      <alignment horizontal="center" vertical="center"/>
      <protection locked="0"/>
    </xf>
    <xf numFmtId="2" fontId="0" fillId="2" borderId="0" xfId="0" applyNumberFormat="1" applyFill="1" applyBorder="1" applyAlignment="1" applyProtection="1">
      <alignment horizontal="center" vertical="center"/>
      <protection locked="0"/>
    </xf>
    <xf numFmtId="0" fontId="0" fillId="2" borderId="15" xfId="0" applyFill="1" applyBorder="1" applyAlignment="1"/>
    <xf numFmtId="0" fontId="12" fillId="2" borderId="0" xfId="0" applyFont="1" applyFill="1" applyBorder="1" applyAlignment="1" applyProtection="1">
      <alignment horizontal="center" vertical="center"/>
      <protection hidden="1"/>
    </xf>
    <xf numFmtId="0" fontId="0" fillId="2" borderId="37" xfId="0" applyFill="1" applyBorder="1" applyProtection="1">
      <protection hidden="1"/>
    </xf>
    <xf numFmtId="0" fontId="0" fillId="7" borderId="43" xfId="0" applyFill="1" applyBorder="1" applyAlignment="1" applyProtection="1">
      <alignment wrapText="1"/>
    </xf>
    <xf numFmtId="0" fontId="0" fillId="0" borderId="12" xfId="0" applyFill="1" applyBorder="1" applyAlignment="1" applyProtection="1">
      <alignment horizontal="center"/>
      <protection locked="0" hidden="1"/>
    </xf>
    <xf numFmtId="0" fontId="0" fillId="0" borderId="42" xfId="0" applyFill="1" applyBorder="1" applyAlignment="1" applyProtection="1">
      <alignment horizontal="center" vertical="center"/>
      <protection locked="0" hidden="1"/>
    </xf>
    <xf numFmtId="0" fontId="0" fillId="0" borderId="5" xfId="0" applyFill="1" applyBorder="1" applyAlignment="1" applyProtection="1">
      <alignment horizontal="center" vertical="center"/>
      <protection locked="0" hidden="1"/>
    </xf>
    <xf numFmtId="3" fontId="1" fillId="9" borderId="4" xfId="0" applyNumberFormat="1" applyFont="1" applyFill="1" applyBorder="1" applyAlignment="1" applyProtection="1">
      <alignment horizontal="center" vertical="center"/>
      <protection locked="0"/>
    </xf>
    <xf numFmtId="3" fontId="0" fillId="9" borderId="42" xfId="0" applyNumberFormat="1" applyFill="1" applyBorder="1" applyAlignment="1" applyProtection="1">
      <alignment horizontal="center" vertical="center" wrapText="1"/>
      <protection locked="0"/>
    </xf>
    <xf numFmtId="3" fontId="0" fillId="9" borderId="21" xfId="0" applyNumberFormat="1" applyFill="1" applyBorder="1" applyAlignment="1" applyProtection="1">
      <alignment horizontal="center" vertical="center" wrapText="1"/>
      <protection locked="0"/>
    </xf>
    <xf numFmtId="3" fontId="0" fillId="9" borderId="43" xfId="0" applyNumberFormat="1" applyFill="1" applyBorder="1" applyAlignment="1" applyProtection="1">
      <alignment horizontal="center" vertical="center" wrapText="1"/>
      <protection locked="0"/>
    </xf>
    <xf numFmtId="3" fontId="0" fillId="9" borderId="44" xfId="0" applyNumberFormat="1" applyFill="1" applyBorder="1" applyAlignment="1" applyProtection="1">
      <alignment horizontal="center" vertical="center" wrapText="1"/>
      <protection locked="0"/>
    </xf>
    <xf numFmtId="3" fontId="2" fillId="9" borderId="4" xfId="0" applyNumberFormat="1" applyFont="1" applyFill="1" applyBorder="1" applyAlignment="1" applyProtection="1">
      <alignment horizontal="center" vertical="center" wrapText="1"/>
      <protection locked="0"/>
    </xf>
    <xf numFmtId="3" fontId="2" fillId="9" borderId="5" xfId="0" applyNumberFormat="1" applyFont="1" applyFill="1" applyBorder="1" applyAlignment="1" applyProtection="1">
      <alignment horizontal="center" vertical="center" wrapText="1"/>
      <protection locked="0"/>
    </xf>
    <xf numFmtId="0" fontId="2" fillId="9" borderId="4" xfId="0" applyNumberFormat="1" applyFont="1" applyFill="1" applyBorder="1" applyAlignment="1" applyProtection="1">
      <alignment horizontal="center" vertical="center" wrapText="1"/>
      <protection locked="0"/>
    </xf>
    <xf numFmtId="0" fontId="0" fillId="9" borderId="17" xfId="0" applyFill="1" applyBorder="1" applyAlignment="1" applyProtection="1">
      <alignment horizontal="center" vertical="center"/>
      <protection locked="0" hidden="1"/>
    </xf>
    <xf numFmtId="3" fontId="0" fillId="9" borderId="26" xfId="0" applyNumberFormat="1" applyFill="1" applyBorder="1" applyAlignment="1" applyProtection="1">
      <alignment horizontal="center" wrapText="1"/>
      <protection locked="0" hidden="1"/>
    </xf>
    <xf numFmtId="0" fontId="0" fillId="9" borderId="10" xfId="0" applyFill="1" applyBorder="1" applyProtection="1">
      <protection hidden="1"/>
    </xf>
    <xf numFmtId="0" fontId="0" fillId="2" borderId="0" xfId="0" applyFill="1" applyBorder="1" applyAlignment="1" applyProtection="1">
      <alignment vertical="center" wrapText="1"/>
      <protection locked="0"/>
    </xf>
    <xf numFmtId="0" fontId="12" fillId="2" borderId="0" xfId="0" applyFont="1" applyFill="1" applyBorder="1" applyAlignment="1" applyProtection="1">
      <alignment horizontal="center" vertical="center" wrapText="1"/>
      <protection locked="0"/>
    </xf>
    <xf numFmtId="0" fontId="2" fillId="2" borderId="45" xfId="0" applyFont="1" applyFill="1" applyBorder="1" applyAlignment="1" applyProtection="1">
      <alignment vertical="center" wrapText="1"/>
      <protection hidden="1"/>
    </xf>
    <xf numFmtId="0" fontId="2" fillId="0" borderId="2" xfId="0" applyFont="1" applyFill="1" applyBorder="1" applyAlignment="1" applyProtection="1">
      <alignment horizontal="left" vertical="center" wrapText="1"/>
      <protection hidden="1"/>
    </xf>
    <xf numFmtId="0" fontId="0" fillId="0" borderId="2" xfId="0" applyBorder="1" applyAlignment="1">
      <alignment vertical="top" wrapText="1"/>
    </xf>
    <xf numFmtId="0" fontId="0" fillId="9" borderId="46" xfId="0" applyFill="1" applyBorder="1" applyAlignment="1" applyProtection="1">
      <alignment horizontal="left" vertical="center" wrapText="1"/>
      <protection locked="0"/>
    </xf>
    <xf numFmtId="165" fontId="1" fillId="9" borderId="22" xfId="0" applyNumberFormat="1" applyFont="1" applyFill="1" applyBorder="1" applyAlignment="1" applyProtection="1">
      <alignment horizontal="left" vertical="center" wrapText="1"/>
      <protection locked="0"/>
    </xf>
    <xf numFmtId="9" fontId="0" fillId="0" borderId="18" xfId="2" applyFont="1" applyFill="1" applyBorder="1" applyAlignment="1" applyProtection="1">
      <alignment horizontal="center"/>
      <protection locked="0" hidden="1"/>
    </xf>
    <xf numFmtId="0" fontId="25" fillId="6" borderId="0" xfId="0" applyFont="1" applyFill="1" applyBorder="1" applyProtection="1">
      <protection hidden="1"/>
    </xf>
    <xf numFmtId="0" fontId="25" fillId="6" borderId="0" xfId="0" applyFont="1" applyFill="1" applyProtection="1">
      <protection hidden="1"/>
    </xf>
    <xf numFmtId="0" fontId="26" fillId="6" borderId="0" xfId="0" applyFont="1" applyFill="1" applyBorder="1" applyProtection="1">
      <protection hidden="1"/>
    </xf>
    <xf numFmtId="0" fontId="25" fillId="6" borderId="0" xfId="0" applyFont="1" applyFill="1" applyBorder="1" applyAlignment="1" applyProtection="1">
      <alignment horizontal="left"/>
      <protection hidden="1"/>
    </xf>
    <xf numFmtId="1" fontId="25" fillId="6" borderId="0" xfId="0" applyNumberFormat="1" applyFont="1" applyFill="1" applyBorder="1" applyProtection="1">
      <protection hidden="1"/>
    </xf>
    <xf numFmtId="0" fontId="28" fillId="6" borderId="0" xfId="0" applyFont="1" applyFill="1"/>
    <xf numFmtId="0" fontId="25" fillId="6" borderId="0" xfId="0" applyFont="1" applyFill="1"/>
    <xf numFmtId="9" fontId="25" fillId="6" borderId="0" xfId="2" applyFont="1" applyFill="1"/>
    <xf numFmtId="0" fontId="25" fillId="6" borderId="0" xfId="0" applyFont="1" applyFill="1" applyProtection="1">
      <protection locked="0" hidden="1"/>
    </xf>
    <xf numFmtId="0" fontId="26" fillId="6" borderId="0" xfId="0" applyFont="1" applyFill="1" applyProtection="1">
      <protection hidden="1"/>
    </xf>
    <xf numFmtId="0" fontId="27" fillId="6" borderId="0" xfId="0" applyFont="1" applyFill="1"/>
    <xf numFmtId="0" fontId="25" fillId="6" borderId="0" xfId="0" applyFont="1" applyFill="1" applyBorder="1" applyAlignment="1" applyProtection="1">
      <protection hidden="1"/>
    </xf>
    <xf numFmtId="9" fontId="25" fillId="6" borderId="0" xfId="2" applyFont="1" applyFill="1" applyProtection="1">
      <protection locked="0" hidden="1"/>
    </xf>
    <xf numFmtId="0" fontId="25" fillId="6" borderId="0" xfId="0" applyNumberFormat="1" applyFont="1" applyFill="1" applyProtection="1">
      <protection locked="0" hidden="1"/>
    </xf>
    <xf numFmtId="0" fontId="29" fillId="0" borderId="0" xfId="0" applyFont="1"/>
    <xf numFmtId="0" fontId="0" fillId="2" borderId="0" xfId="0" applyFill="1" applyBorder="1" applyAlignment="1" applyProtection="1">
      <alignment horizontal="center" vertical="center" wrapText="1"/>
      <protection locked="0"/>
    </xf>
    <xf numFmtId="0" fontId="2" fillId="2" borderId="45" xfId="0" applyFont="1" applyFill="1" applyBorder="1" applyAlignment="1" applyProtection="1">
      <alignment vertical="center" wrapText="1"/>
      <protection hidden="1"/>
    </xf>
    <xf numFmtId="0" fontId="0" fillId="2" borderId="0" xfId="0" applyFill="1" applyBorder="1" applyAlignment="1" applyProtection="1">
      <alignment wrapText="1"/>
      <protection hidden="1"/>
    </xf>
    <xf numFmtId="0" fontId="0" fillId="2" borderId="0" xfId="0" applyFill="1" applyBorder="1" applyAlignment="1" applyProtection="1">
      <protection hidden="1"/>
    </xf>
    <xf numFmtId="0" fontId="1" fillId="2" borderId="11" xfId="0" applyFont="1" applyFill="1" applyBorder="1" applyAlignment="1" applyProtection="1">
      <alignment horizontal="center" vertical="center" wrapText="1"/>
      <protection hidden="1"/>
    </xf>
    <xf numFmtId="0" fontId="0" fillId="2" borderId="0" xfId="0" applyFill="1" applyBorder="1" applyAlignment="1" applyProtection="1">
      <alignment horizontal="center" wrapText="1"/>
      <protection locked="0" hidden="1"/>
    </xf>
    <xf numFmtId="0" fontId="18" fillId="0" borderId="0" xfId="0" applyFont="1"/>
    <xf numFmtId="0" fontId="30" fillId="0" borderId="0" xfId="0" applyFont="1" applyAlignment="1">
      <alignment horizontal="left" vertical="center" readingOrder="1"/>
    </xf>
    <xf numFmtId="0" fontId="31" fillId="0" borderId="0" xfId="0" applyFont="1" applyAlignment="1">
      <alignment horizontal="left" vertical="center" readingOrder="1"/>
    </xf>
    <xf numFmtId="0" fontId="30" fillId="0" borderId="0" xfId="0" applyFont="1" applyAlignment="1">
      <alignment horizontal="left" vertical="center" indent="1" readingOrder="1"/>
    </xf>
    <xf numFmtId="0" fontId="18" fillId="0" borderId="0" xfId="0" applyFont="1" applyAlignment="1">
      <alignment horizontal="center" vertical="center"/>
    </xf>
    <xf numFmtId="0" fontId="1" fillId="2" borderId="3" xfId="0" applyFont="1" applyFill="1" applyBorder="1" applyAlignment="1" applyProtection="1">
      <alignment horizontal="left" vertical="top" wrapText="1"/>
      <protection hidden="1"/>
    </xf>
    <xf numFmtId="0" fontId="1" fillId="2" borderId="2" xfId="0" applyFont="1" applyFill="1" applyBorder="1" applyAlignment="1" applyProtection="1">
      <alignment horizontal="left" vertical="top" wrapText="1"/>
      <protection hidden="1"/>
    </xf>
    <xf numFmtId="0" fontId="1" fillId="2" borderId="2" xfId="0" applyFont="1" applyFill="1" applyBorder="1" applyAlignment="1" applyProtection="1">
      <alignment horizontal="left" vertical="center" wrapText="1"/>
      <protection hidden="1"/>
    </xf>
    <xf numFmtId="165" fontId="1" fillId="10" borderId="22" xfId="0" applyNumberFormat="1" applyFont="1" applyFill="1" applyBorder="1" applyAlignment="1" applyProtection="1">
      <alignment horizontal="left" vertical="center" wrapText="1"/>
      <protection locked="0"/>
    </xf>
    <xf numFmtId="0" fontId="0" fillId="10" borderId="4" xfId="0" applyFill="1" applyBorder="1" applyAlignment="1" applyProtection="1">
      <alignment horizontal="center" vertical="center" wrapText="1"/>
      <protection locked="0" hidden="1"/>
    </xf>
    <xf numFmtId="0" fontId="0" fillId="10" borderId="46" xfId="0" applyFill="1" applyBorder="1" applyAlignment="1" applyProtection="1">
      <alignment horizontal="left" vertical="center" wrapText="1"/>
      <protection locked="0"/>
    </xf>
    <xf numFmtId="0" fontId="1" fillId="0" borderId="2" xfId="0" applyFont="1" applyFill="1" applyBorder="1" applyAlignment="1" applyProtection="1">
      <alignment horizontal="left" vertical="center" wrapText="1"/>
      <protection hidden="1"/>
    </xf>
    <xf numFmtId="3" fontId="1" fillId="10" borderId="4" xfId="0" applyNumberFormat="1" applyFont="1" applyFill="1" applyBorder="1" applyAlignment="1" applyProtection="1">
      <alignment horizontal="center" vertical="center" wrapText="1"/>
      <protection locked="0"/>
    </xf>
    <xf numFmtId="0" fontId="1" fillId="10" borderId="4" xfId="0" applyNumberFormat="1" applyFont="1" applyFill="1" applyBorder="1" applyAlignment="1" applyProtection="1">
      <alignment horizontal="center" vertical="center" wrapText="1"/>
      <protection locked="0"/>
    </xf>
    <xf numFmtId="3" fontId="1" fillId="9" borderId="4" xfId="0" applyNumberFormat="1" applyFont="1" applyFill="1" applyBorder="1" applyAlignment="1" applyProtection="1">
      <alignment horizontal="center" vertical="center" wrapText="1"/>
      <protection locked="0"/>
    </xf>
    <xf numFmtId="0" fontId="1" fillId="2" borderId="4" xfId="0" applyNumberFormat="1" applyFont="1" applyFill="1" applyBorder="1" applyAlignment="1" applyProtection="1">
      <alignment horizontal="center" vertical="center" wrapText="1"/>
    </xf>
    <xf numFmtId="3" fontId="1" fillId="3" borderId="13" xfId="0" applyNumberFormat="1" applyFont="1" applyFill="1" applyBorder="1" applyAlignment="1" applyProtection="1">
      <alignment horizontal="left" vertical="center" wrapText="1"/>
    </xf>
    <xf numFmtId="3" fontId="1" fillId="9" borderId="5" xfId="0" applyNumberFormat="1" applyFont="1" applyFill="1" applyBorder="1" applyAlignment="1" applyProtection="1">
      <alignment horizontal="center" vertical="center" wrapText="1"/>
      <protection locked="0"/>
    </xf>
    <xf numFmtId="0" fontId="1" fillId="2" borderId="5" xfId="0" applyNumberFormat="1" applyFont="1" applyFill="1" applyBorder="1" applyAlignment="1" applyProtection="1">
      <alignment horizontal="center" vertical="center" wrapText="1"/>
    </xf>
    <xf numFmtId="3" fontId="1" fillId="3" borderId="18" xfId="0" applyNumberFormat="1" applyFont="1" applyFill="1" applyBorder="1" applyAlignment="1" applyProtection="1">
      <alignment horizontal="left" vertical="center" wrapText="1"/>
    </xf>
    <xf numFmtId="0" fontId="1" fillId="10" borderId="2" xfId="0" applyFont="1" applyFill="1" applyBorder="1" applyAlignment="1" applyProtection="1">
      <alignment horizontal="left" vertical="center" wrapText="1"/>
      <protection locked="0"/>
    </xf>
    <xf numFmtId="4" fontId="0" fillId="10" borderId="4" xfId="0" applyNumberFormat="1" applyFill="1" applyBorder="1" applyAlignment="1" applyProtection="1">
      <alignment horizontal="center" vertical="center"/>
      <protection locked="0"/>
    </xf>
    <xf numFmtId="0" fontId="0" fillId="10" borderId="4" xfId="0" applyFill="1" applyBorder="1" applyAlignment="1" applyProtection="1">
      <alignment horizontal="center" vertical="center"/>
      <protection locked="0"/>
    </xf>
    <xf numFmtId="3" fontId="0" fillId="10" borderId="4" xfId="0" applyNumberFormat="1" applyFill="1" applyBorder="1" applyAlignment="1" applyProtection="1">
      <alignment horizontal="center" vertical="center"/>
      <protection locked="0"/>
    </xf>
    <xf numFmtId="3" fontId="1" fillId="10" borderId="4" xfId="0" applyNumberFormat="1" applyFont="1" applyFill="1" applyBorder="1" applyAlignment="1" applyProtection="1">
      <alignment horizontal="center" vertical="center"/>
      <protection locked="0"/>
    </xf>
    <xf numFmtId="4" fontId="1" fillId="10" borderId="4" xfId="0" applyNumberFormat="1" applyFont="1" applyFill="1" applyBorder="1" applyAlignment="1" applyProtection="1">
      <alignment horizontal="center" vertical="center"/>
      <protection locked="0"/>
    </xf>
    <xf numFmtId="3" fontId="0" fillId="10" borderId="42" xfId="0" applyNumberFormat="1" applyFill="1" applyBorder="1" applyAlignment="1" applyProtection="1">
      <alignment horizontal="center" vertical="center" wrapText="1"/>
      <protection locked="0"/>
    </xf>
    <xf numFmtId="3" fontId="0" fillId="10" borderId="21" xfId="0" applyNumberFormat="1" applyFill="1" applyBorder="1" applyAlignment="1" applyProtection="1">
      <alignment horizontal="center" vertical="center" wrapText="1"/>
      <protection locked="0"/>
    </xf>
    <xf numFmtId="3" fontId="0" fillId="10" borderId="43" xfId="0" applyNumberFormat="1" applyFill="1" applyBorder="1" applyAlignment="1" applyProtection="1">
      <alignment horizontal="center" vertical="center" wrapText="1"/>
      <protection locked="0"/>
    </xf>
    <xf numFmtId="3" fontId="0" fillId="10" borderId="44" xfId="0" applyNumberFormat="1" applyFill="1" applyBorder="1" applyAlignment="1" applyProtection="1">
      <alignment horizontal="center" vertical="center" wrapText="1"/>
      <protection locked="0"/>
    </xf>
    <xf numFmtId="0" fontId="0" fillId="10" borderId="17" xfId="0" applyFill="1" applyBorder="1" applyAlignment="1" applyProtection="1">
      <alignment horizontal="center" vertical="center"/>
      <protection locked="0" hidden="1"/>
    </xf>
    <xf numFmtId="3" fontId="0" fillId="10" borderId="26" xfId="0" applyNumberFormat="1" applyFill="1" applyBorder="1" applyAlignment="1" applyProtection="1">
      <alignment horizontal="center" wrapText="1"/>
      <protection locked="0" hidden="1"/>
    </xf>
    <xf numFmtId="0" fontId="0" fillId="10" borderId="43" xfId="0" applyFill="1" applyBorder="1" applyAlignment="1" applyProtection="1">
      <alignment wrapText="1"/>
    </xf>
    <xf numFmtId="0" fontId="1" fillId="0" borderId="0" xfId="0" applyFont="1"/>
    <xf numFmtId="0" fontId="0" fillId="2" borderId="0" xfId="0" applyFill="1" applyBorder="1" applyAlignment="1" applyProtection="1">
      <alignment horizontal="center" vertical="center" wrapText="1"/>
      <protection locked="0"/>
    </xf>
    <xf numFmtId="0" fontId="0" fillId="0" borderId="0" xfId="0" applyBorder="1" applyProtection="1">
      <protection locked="0"/>
    </xf>
    <xf numFmtId="0" fontId="0" fillId="2" borderId="0" xfId="0" applyFill="1" applyBorder="1" applyAlignment="1" applyProtection="1">
      <alignment horizontal="center" wrapText="1"/>
      <protection locked="0" hidden="1"/>
    </xf>
    <xf numFmtId="0" fontId="0" fillId="0" borderId="0" xfId="0" applyBorder="1"/>
    <xf numFmtId="0" fontId="0" fillId="0" borderId="0" xfId="0" applyBorder="1" applyAlignment="1" applyProtection="1">
      <protection locked="0" hidden="1"/>
    </xf>
    <xf numFmtId="0" fontId="0" fillId="0" borderId="0" xfId="0" applyBorder="1" applyAlignment="1" applyProtection="1">
      <alignment horizontal="center" wrapText="1"/>
      <protection locked="0" hidden="1"/>
    </xf>
    <xf numFmtId="0" fontId="0" fillId="0" borderId="0" xfId="0" applyBorder="1" applyAlignment="1" applyProtection="1">
      <protection locked="0"/>
    </xf>
    <xf numFmtId="0" fontId="0" fillId="2" borderId="9" xfId="0" applyFill="1" applyBorder="1" applyAlignment="1" applyProtection="1">
      <alignment wrapText="1"/>
    </xf>
    <xf numFmtId="0" fontId="0" fillId="2" borderId="11" xfId="0" applyFill="1" applyBorder="1" applyAlignment="1" applyProtection="1">
      <alignment wrapText="1"/>
    </xf>
    <xf numFmtId="0" fontId="0" fillId="2" borderId="12" xfId="0" applyFill="1" applyBorder="1" applyAlignment="1" applyProtection="1">
      <alignment wrapText="1"/>
    </xf>
    <xf numFmtId="0" fontId="8" fillId="2" borderId="65" xfId="0" applyFont="1" applyFill="1" applyBorder="1" applyAlignment="1" applyProtection="1">
      <alignment horizontal="center" vertical="center" textRotation="90" wrapText="1"/>
      <protection hidden="1"/>
    </xf>
    <xf numFmtId="0" fontId="8" fillId="2" borderId="27" xfId="0" applyFont="1" applyFill="1" applyBorder="1" applyAlignment="1" applyProtection="1">
      <alignment horizontal="center" vertical="center" textRotation="90" wrapText="1"/>
      <protection hidden="1"/>
    </xf>
    <xf numFmtId="0" fontId="8" fillId="2" borderId="64" xfId="0" applyFont="1" applyFill="1" applyBorder="1" applyAlignment="1" applyProtection="1">
      <alignment horizontal="center" vertical="center" textRotation="90" wrapText="1"/>
      <protection hidden="1"/>
    </xf>
    <xf numFmtId="0" fontId="2" fillId="7" borderId="4" xfId="0" applyFont="1" applyFill="1" applyBorder="1" applyAlignment="1" applyProtection="1">
      <alignment horizontal="left" vertical="center"/>
      <protection locked="0"/>
    </xf>
    <xf numFmtId="0" fontId="2" fillId="7" borderId="22" xfId="0" applyFont="1" applyFill="1" applyBorder="1" applyAlignment="1" applyProtection="1">
      <alignment horizontal="left" vertical="center"/>
      <protection locked="0"/>
    </xf>
    <xf numFmtId="0" fontId="8" fillId="2" borderId="0" xfId="0" applyFont="1" applyFill="1" applyBorder="1" applyAlignment="1" applyProtection="1">
      <alignment horizontal="center" vertical="center" textRotation="90" wrapText="1"/>
      <protection hidden="1"/>
    </xf>
    <xf numFmtId="0" fontId="8" fillId="2" borderId="15" xfId="0" applyFont="1" applyFill="1" applyBorder="1" applyAlignment="1" applyProtection="1">
      <alignment horizontal="center" vertical="center" textRotation="90" wrapText="1"/>
      <protection hidden="1"/>
    </xf>
    <xf numFmtId="0" fontId="0" fillId="7" borderId="9" xfId="0" applyFill="1" applyBorder="1" applyAlignment="1" applyProtection="1">
      <protection locked="0"/>
    </xf>
    <xf numFmtId="0" fontId="0" fillId="7" borderId="11" xfId="0" applyFill="1" applyBorder="1" applyAlignment="1"/>
    <xf numFmtId="0" fontId="0" fillId="7" borderId="12" xfId="0" applyFill="1" applyBorder="1" applyAlignment="1"/>
    <xf numFmtId="0" fontId="24" fillId="2" borderId="50" xfId="0" applyFont="1" applyFill="1" applyBorder="1" applyAlignment="1" applyProtection="1">
      <alignment horizontal="left" vertical="center" wrapText="1"/>
      <protection locked="0"/>
    </xf>
    <xf numFmtId="0" fontId="24" fillId="2" borderId="51" xfId="0" applyFont="1" applyFill="1" applyBorder="1" applyAlignment="1" applyProtection="1">
      <alignment horizontal="left" vertical="center" wrapText="1"/>
      <protection locked="0"/>
    </xf>
    <xf numFmtId="0" fontId="24" fillId="2" borderId="52" xfId="0" applyFont="1" applyFill="1" applyBorder="1" applyAlignment="1" applyProtection="1">
      <alignment horizontal="left" vertical="center" wrapText="1"/>
      <protection locked="0"/>
    </xf>
    <xf numFmtId="0" fontId="24" fillId="2" borderId="28" xfId="0" applyFont="1" applyFill="1" applyBorder="1" applyAlignment="1" applyProtection="1">
      <alignment horizontal="left" vertical="center" wrapText="1"/>
      <protection locked="0"/>
    </xf>
    <xf numFmtId="0" fontId="24" fillId="2" borderId="0" xfId="0" applyFont="1" applyFill="1" applyBorder="1" applyAlignment="1" applyProtection="1">
      <alignment horizontal="left" vertical="center" wrapText="1"/>
      <protection locked="0"/>
    </xf>
    <xf numFmtId="0" fontId="24" fillId="2" borderId="27" xfId="0" applyFont="1" applyFill="1" applyBorder="1" applyAlignment="1" applyProtection="1">
      <alignment horizontal="left" vertical="center" wrapText="1"/>
      <protection locked="0"/>
    </xf>
    <xf numFmtId="0" fontId="24" fillId="2" borderId="33" xfId="0" applyFont="1" applyFill="1" applyBorder="1" applyAlignment="1" applyProtection="1">
      <alignment horizontal="left" vertical="center" wrapText="1"/>
      <protection locked="0"/>
    </xf>
    <xf numFmtId="0" fontId="24" fillId="2" borderId="53" xfId="0" applyFont="1" applyFill="1" applyBorder="1" applyAlignment="1" applyProtection="1">
      <alignment horizontal="left" vertical="center" wrapText="1"/>
      <protection locked="0"/>
    </xf>
    <xf numFmtId="0" fontId="24" fillId="2" borderId="54" xfId="0" applyFont="1" applyFill="1" applyBorder="1" applyAlignment="1" applyProtection="1">
      <alignment horizontal="left" vertical="center" wrapText="1"/>
      <protection locked="0"/>
    </xf>
    <xf numFmtId="0" fontId="6" fillId="8" borderId="22" xfId="0" applyFont="1" applyFill="1" applyBorder="1" applyAlignment="1" applyProtection="1">
      <alignment horizontal="center" vertical="center"/>
      <protection locked="0"/>
    </xf>
    <xf numFmtId="0" fontId="6" fillId="8" borderId="47" xfId="0" applyFont="1" applyFill="1" applyBorder="1" applyAlignment="1" applyProtection="1">
      <alignment horizontal="center" vertical="center"/>
      <protection locked="0"/>
    </xf>
    <xf numFmtId="0" fontId="6" fillId="8" borderId="23" xfId="0" applyFont="1" applyFill="1" applyBorder="1" applyAlignment="1" applyProtection="1">
      <alignment horizontal="center" vertical="center"/>
      <protection locked="0"/>
    </xf>
    <xf numFmtId="0" fontId="0" fillId="2" borderId="50" xfId="0" applyFill="1" applyBorder="1" applyAlignment="1" applyProtection="1">
      <alignment horizontal="center" vertical="center" wrapText="1"/>
      <protection locked="0"/>
    </xf>
    <xf numFmtId="0" fontId="0" fillId="2" borderId="51" xfId="0" applyFill="1" applyBorder="1" applyAlignment="1" applyProtection="1">
      <alignment horizontal="center" vertical="center" wrapText="1"/>
      <protection locked="0"/>
    </xf>
    <xf numFmtId="0" fontId="0" fillId="2" borderId="52" xfId="0" applyFill="1" applyBorder="1" applyAlignment="1" applyProtection="1">
      <alignment horizontal="center" vertical="center" wrapText="1"/>
      <protection locked="0"/>
    </xf>
    <xf numFmtId="0" fontId="0" fillId="2" borderId="28" xfId="0" applyFill="1" applyBorder="1" applyAlignment="1" applyProtection="1">
      <alignment horizontal="center" vertical="center" wrapText="1"/>
      <protection locked="0"/>
    </xf>
    <xf numFmtId="0" fontId="0" fillId="2" borderId="27" xfId="0" applyFill="1" applyBorder="1" applyAlignment="1" applyProtection="1">
      <alignment horizontal="center" vertical="center" wrapText="1"/>
      <protection locked="0"/>
    </xf>
    <xf numFmtId="0" fontId="0" fillId="2" borderId="33" xfId="0" applyFill="1" applyBorder="1" applyAlignment="1" applyProtection="1">
      <alignment horizontal="center" vertical="center" wrapText="1"/>
      <protection locked="0"/>
    </xf>
    <xf numFmtId="0" fontId="0" fillId="2" borderId="53" xfId="0" applyFill="1" applyBorder="1" applyAlignment="1" applyProtection="1">
      <alignment horizontal="center" vertical="center" wrapText="1"/>
      <protection locked="0"/>
    </xf>
    <xf numFmtId="0" fontId="0" fillId="2" borderId="54" xfId="0" applyFill="1" applyBorder="1" applyAlignment="1" applyProtection="1">
      <alignment horizontal="center" vertical="center" wrapText="1"/>
      <protection locked="0"/>
    </xf>
    <xf numFmtId="3" fontId="2" fillId="7" borderId="30" xfId="0" applyNumberFormat="1" applyFont="1" applyFill="1" applyBorder="1" applyAlignment="1" applyProtection="1">
      <alignment horizontal="left" vertical="center"/>
      <protection locked="0"/>
    </xf>
    <xf numFmtId="0" fontId="2" fillId="7" borderId="55" xfId="0" applyFont="1" applyFill="1" applyBorder="1" applyAlignment="1" applyProtection="1">
      <alignment horizontal="left" vertical="center"/>
      <protection locked="0"/>
    </xf>
    <xf numFmtId="0" fontId="2" fillId="7" borderId="56" xfId="0" applyFont="1" applyFill="1" applyBorder="1" applyAlignment="1" applyProtection="1">
      <alignment horizontal="left" vertical="center"/>
      <protection locked="0"/>
    </xf>
    <xf numFmtId="0" fontId="2" fillId="7" borderId="42" xfId="0" applyFont="1" applyFill="1" applyBorder="1" applyAlignment="1" applyProtection="1">
      <alignment horizontal="left" vertical="center"/>
      <protection locked="0"/>
    </xf>
    <xf numFmtId="0" fontId="2" fillId="7" borderId="59" xfId="0" applyFont="1" applyFill="1" applyBorder="1" applyAlignment="1" applyProtection="1">
      <alignment horizontal="left" vertical="center"/>
      <protection locked="0"/>
    </xf>
    <xf numFmtId="0" fontId="0" fillId="7" borderId="22" xfId="0" applyFill="1" applyBorder="1" applyAlignment="1" applyProtection="1">
      <alignment horizontal="left" vertical="center"/>
      <protection locked="0" hidden="1"/>
    </xf>
    <xf numFmtId="0" fontId="0" fillId="7" borderId="47" xfId="0" applyFill="1" applyBorder="1" applyAlignment="1" applyProtection="1">
      <alignment horizontal="left" vertical="center"/>
      <protection locked="0" hidden="1"/>
    </xf>
    <xf numFmtId="0" fontId="0" fillId="7" borderId="23" xfId="0" applyFill="1" applyBorder="1" applyAlignment="1" applyProtection="1">
      <alignment horizontal="left" vertical="center"/>
      <protection locked="0" hidden="1"/>
    </xf>
    <xf numFmtId="0" fontId="1" fillId="9" borderId="4" xfId="0" applyFont="1" applyFill="1" applyBorder="1" applyAlignment="1" applyProtection="1">
      <alignment horizontal="left" vertical="top"/>
      <protection locked="0"/>
    </xf>
    <xf numFmtId="0" fontId="2" fillId="9" borderId="4" xfId="0" applyFont="1" applyFill="1" applyBorder="1" applyAlignment="1" applyProtection="1">
      <alignment horizontal="left" vertical="top"/>
      <protection locked="0"/>
    </xf>
    <xf numFmtId="0" fontId="2" fillId="9" borderId="13" xfId="0" applyFont="1" applyFill="1" applyBorder="1" applyAlignment="1" applyProtection="1">
      <alignment horizontal="left" vertical="top"/>
      <protection locked="0"/>
    </xf>
    <xf numFmtId="0" fontId="0" fillId="9" borderId="22" xfId="0" applyFill="1" applyBorder="1" applyAlignment="1" applyProtection="1">
      <alignment horizontal="left" vertical="center"/>
      <protection locked="0"/>
    </xf>
    <xf numFmtId="0" fontId="0" fillId="9" borderId="23" xfId="0" applyFill="1" applyBorder="1" applyAlignment="1" applyProtection="1">
      <alignment horizontal="left" vertical="center"/>
      <protection locked="0"/>
    </xf>
    <xf numFmtId="0" fontId="2" fillId="2" borderId="45" xfId="0" applyFont="1" applyFill="1" applyBorder="1" applyAlignment="1" applyProtection="1">
      <alignment horizontal="left" vertical="center" wrapText="1"/>
      <protection hidden="1"/>
    </xf>
    <xf numFmtId="0" fontId="0" fillId="0" borderId="57" xfId="0" applyBorder="1" applyAlignment="1">
      <alignment vertical="center"/>
    </xf>
    <xf numFmtId="0" fontId="0" fillId="0" borderId="66" xfId="0" applyBorder="1" applyAlignment="1">
      <alignment vertical="center"/>
    </xf>
    <xf numFmtId="0" fontId="2" fillId="2" borderId="50" xfId="0" applyFont="1" applyFill="1" applyBorder="1" applyAlignment="1" applyProtection="1">
      <alignment horizontal="center" vertical="center"/>
      <protection locked="0" hidden="1"/>
    </xf>
    <xf numFmtId="0" fontId="0" fillId="2" borderId="52" xfId="0" applyFill="1" applyBorder="1" applyAlignment="1" applyProtection="1">
      <alignment horizontal="center" vertical="center"/>
      <protection locked="0"/>
    </xf>
    <xf numFmtId="0" fontId="0" fillId="2" borderId="33" xfId="0" applyFill="1" applyBorder="1" applyAlignment="1" applyProtection="1">
      <alignment horizontal="center" vertical="center"/>
      <protection locked="0"/>
    </xf>
    <xf numFmtId="0" fontId="0" fillId="2" borderId="54" xfId="0" applyFill="1" applyBorder="1" applyAlignment="1" applyProtection="1">
      <alignment horizontal="center" vertical="center"/>
      <protection locked="0"/>
    </xf>
    <xf numFmtId="0" fontId="0" fillId="0" borderId="1" xfId="0" applyBorder="1" applyAlignment="1">
      <alignment horizontal="left" vertical="center" wrapText="1"/>
    </xf>
    <xf numFmtId="3" fontId="1" fillId="9" borderId="50" xfId="0" applyNumberFormat="1" applyFont="1" applyFill="1" applyBorder="1" applyAlignment="1" applyProtection="1">
      <alignment horizontal="left" vertical="center"/>
      <protection locked="0"/>
    </xf>
    <xf numFmtId="3" fontId="2" fillId="9" borderId="51" xfId="0" applyNumberFormat="1" applyFont="1" applyFill="1" applyBorder="1" applyAlignment="1" applyProtection="1">
      <alignment horizontal="left" vertical="center"/>
      <protection locked="0"/>
    </xf>
    <xf numFmtId="3" fontId="2" fillId="9" borderId="49" xfId="0" applyNumberFormat="1" applyFont="1" applyFill="1" applyBorder="1" applyAlignment="1" applyProtection="1">
      <alignment horizontal="left" vertical="center"/>
      <protection locked="0"/>
    </xf>
    <xf numFmtId="3" fontId="1" fillId="9" borderId="22" xfId="0" applyNumberFormat="1" applyFont="1" applyFill="1" applyBorder="1" applyAlignment="1" applyProtection="1">
      <alignment horizontal="left" vertical="top"/>
      <protection locked="0"/>
    </xf>
    <xf numFmtId="3" fontId="2" fillId="9" borderId="47" xfId="0" applyNumberFormat="1" applyFont="1" applyFill="1" applyBorder="1" applyAlignment="1" applyProtection="1">
      <alignment horizontal="left" vertical="top"/>
      <protection locked="0"/>
    </xf>
    <xf numFmtId="3" fontId="2" fillId="9" borderId="46" xfId="0" applyNumberFormat="1" applyFont="1" applyFill="1" applyBorder="1" applyAlignment="1" applyProtection="1">
      <alignment horizontal="left" vertical="top"/>
      <protection locked="0"/>
    </xf>
    <xf numFmtId="0" fontId="0" fillId="0" borderId="22" xfId="0" applyBorder="1" applyAlignment="1" applyProtection="1">
      <alignment horizontal="left" vertical="center" wrapText="1"/>
      <protection locked="0" hidden="1"/>
    </xf>
    <xf numFmtId="0" fontId="0" fillId="0" borderId="23" xfId="0" applyBorder="1" applyAlignment="1">
      <alignment horizontal="left" vertical="center" wrapText="1"/>
    </xf>
    <xf numFmtId="3" fontId="1" fillId="0" borderId="50" xfId="0" applyNumberFormat="1" applyFont="1" applyFill="1" applyBorder="1" applyAlignment="1" applyProtection="1">
      <alignment horizontal="center" vertical="center"/>
      <protection locked="0"/>
    </xf>
    <xf numFmtId="3" fontId="2" fillId="0" borderId="33" xfId="0" applyNumberFormat="1" applyFont="1" applyFill="1" applyBorder="1" applyAlignment="1" applyProtection="1">
      <alignment horizontal="center" vertical="center"/>
      <protection locked="0"/>
    </xf>
    <xf numFmtId="0" fontId="1" fillId="9" borderId="50" xfId="0" applyFont="1" applyFill="1" applyBorder="1" applyAlignment="1" applyProtection="1">
      <alignment horizontal="left" vertical="center"/>
    </xf>
    <xf numFmtId="0" fontId="1" fillId="9" borderId="52" xfId="0" applyFont="1" applyFill="1" applyBorder="1" applyAlignment="1" applyProtection="1">
      <alignment horizontal="left" vertical="center"/>
    </xf>
    <xf numFmtId="0" fontId="1" fillId="9" borderId="24" xfId="0" applyFont="1" applyFill="1" applyBorder="1" applyAlignment="1" applyProtection="1">
      <alignment horizontal="left" vertical="center"/>
    </xf>
    <xf numFmtId="0" fontId="1" fillId="9" borderId="64" xfId="0" applyFont="1" applyFill="1" applyBorder="1" applyAlignment="1" applyProtection="1">
      <alignment horizontal="left" vertical="center"/>
    </xf>
    <xf numFmtId="164" fontId="1" fillId="9" borderId="68" xfId="0" applyNumberFormat="1" applyFont="1" applyFill="1" applyBorder="1" applyAlignment="1" applyProtection="1">
      <alignment horizontal="left" vertical="top"/>
      <protection locked="0"/>
    </xf>
    <xf numFmtId="164" fontId="2" fillId="9" borderId="14" xfId="0" applyNumberFormat="1" applyFont="1" applyFill="1" applyBorder="1" applyAlignment="1" applyProtection="1">
      <alignment horizontal="left" vertical="top"/>
      <protection locked="0"/>
    </xf>
    <xf numFmtId="164" fontId="2" fillId="9" borderId="41" xfId="0" applyNumberFormat="1" applyFont="1" applyFill="1" applyBorder="1" applyAlignment="1" applyProtection="1">
      <alignment horizontal="left" vertical="top"/>
      <protection locked="0"/>
    </xf>
    <xf numFmtId="0" fontId="0" fillId="2" borderId="8" xfId="0" applyFill="1" applyBorder="1" applyAlignment="1" applyProtection="1">
      <protection hidden="1"/>
    </xf>
    <xf numFmtId="0" fontId="0" fillId="2" borderId="5" xfId="0" applyFill="1" applyBorder="1" applyAlignment="1" applyProtection="1">
      <protection hidden="1"/>
    </xf>
    <xf numFmtId="4" fontId="14" fillId="7" borderId="8" xfId="0" applyNumberFormat="1" applyFont="1" applyFill="1" applyBorder="1" applyAlignment="1" applyProtection="1">
      <alignment horizontal="center" vertical="center"/>
      <protection hidden="1"/>
    </xf>
    <xf numFmtId="0" fontId="12" fillId="7" borderId="18" xfId="0" applyFont="1" applyFill="1" applyBorder="1" applyAlignment="1" applyProtection="1">
      <alignment horizontal="center" vertical="center"/>
      <protection hidden="1"/>
    </xf>
    <xf numFmtId="0" fontId="0" fillId="7" borderId="36" xfId="0" applyFill="1" applyBorder="1" applyAlignment="1" applyProtection="1">
      <alignment horizontal="center" vertical="center"/>
      <protection hidden="1"/>
    </xf>
    <xf numFmtId="0" fontId="0" fillId="7" borderId="40" xfId="0" applyFill="1" applyBorder="1" applyAlignment="1" applyProtection="1">
      <alignment horizontal="center" vertical="center"/>
      <protection hidden="1"/>
    </xf>
    <xf numFmtId="1" fontId="0" fillId="2" borderId="19" xfId="0" applyNumberFormat="1" applyFill="1" applyBorder="1" applyAlignment="1" applyProtection="1">
      <alignment horizontal="center" vertical="center"/>
      <protection locked="0" hidden="1"/>
    </xf>
    <xf numFmtId="1" fontId="0" fillId="2" borderId="26" xfId="0" applyNumberFormat="1" applyFill="1" applyBorder="1" applyAlignment="1" applyProtection="1">
      <alignment horizontal="center" vertical="center"/>
      <protection locked="0" hidden="1"/>
    </xf>
    <xf numFmtId="0" fontId="2" fillId="7" borderId="47" xfId="0" applyFont="1" applyFill="1" applyBorder="1" applyAlignment="1" applyProtection="1">
      <alignment horizontal="left" vertical="center"/>
      <protection locked="0"/>
    </xf>
    <xf numFmtId="0" fontId="2" fillId="7" borderId="46" xfId="0" applyFont="1" applyFill="1" applyBorder="1" applyAlignment="1" applyProtection="1">
      <alignment horizontal="left" vertical="center"/>
      <protection locked="0"/>
    </xf>
    <xf numFmtId="0" fontId="8" fillId="2" borderId="59" xfId="0" applyFont="1" applyFill="1" applyBorder="1" applyAlignment="1" applyProtection="1">
      <alignment horizontal="center"/>
      <protection hidden="1"/>
    </xf>
    <xf numFmtId="0" fontId="8" fillId="2" borderId="60" xfId="0" applyFont="1" applyFill="1" applyBorder="1" applyAlignment="1" applyProtection="1">
      <alignment horizontal="center"/>
      <protection hidden="1"/>
    </xf>
    <xf numFmtId="0" fontId="8" fillId="2" borderId="61" xfId="0" applyFont="1" applyFill="1" applyBorder="1" applyAlignment="1" applyProtection="1">
      <alignment horizontal="center"/>
      <protection hidden="1"/>
    </xf>
    <xf numFmtId="4" fontId="12" fillId="7" borderId="36" xfId="0" applyNumberFormat="1" applyFont="1" applyFill="1" applyBorder="1" applyAlignment="1" applyProtection="1">
      <alignment horizontal="center" vertical="center"/>
      <protection hidden="1"/>
    </xf>
    <xf numFmtId="4" fontId="12" fillId="7" borderId="37" xfId="0" applyNumberFormat="1" applyFont="1" applyFill="1" applyBorder="1" applyAlignment="1" applyProtection="1">
      <alignment horizontal="center" vertical="center"/>
      <protection hidden="1"/>
    </xf>
    <xf numFmtId="0" fontId="0" fillId="0" borderId="36" xfId="0" applyBorder="1" applyAlignment="1" applyProtection="1">
      <alignment horizontal="center" wrapText="1"/>
      <protection hidden="1"/>
    </xf>
    <xf numFmtId="0" fontId="0" fillId="0" borderId="40" xfId="0" applyBorder="1" applyAlignment="1" applyProtection="1">
      <alignment horizontal="center" wrapText="1"/>
      <protection hidden="1"/>
    </xf>
    <xf numFmtId="0" fontId="8" fillId="8" borderId="36" xfId="0" applyFont="1" applyFill="1" applyBorder="1" applyAlignment="1" applyProtection="1">
      <alignment horizontal="center" vertical="center" wrapText="1"/>
      <protection hidden="1"/>
    </xf>
    <xf numFmtId="0" fontId="0" fillId="8" borderId="37" xfId="0" applyFill="1" applyBorder="1" applyAlignment="1" applyProtection="1">
      <alignment horizontal="center" vertical="center"/>
      <protection hidden="1"/>
    </xf>
    <xf numFmtId="0" fontId="8" fillId="8" borderId="34" xfId="0" applyFont="1" applyFill="1" applyBorder="1" applyAlignment="1" applyProtection="1">
      <alignment vertical="center"/>
      <protection hidden="1"/>
    </xf>
    <xf numFmtId="0" fontId="20" fillId="8" borderId="67" xfId="0" applyFont="1" applyFill="1" applyBorder="1" applyAlignment="1" applyProtection="1">
      <alignment vertical="center"/>
      <protection hidden="1"/>
    </xf>
    <xf numFmtId="0" fontId="0" fillId="2" borderId="6" xfId="0" applyFill="1" applyBorder="1" applyAlignment="1" applyProtection="1">
      <alignment vertical="center"/>
      <protection hidden="1"/>
    </xf>
    <xf numFmtId="0" fontId="0" fillId="0" borderId="42" xfId="0" applyBorder="1" applyAlignment="1" applyProtection="1">
      <alignment vertical="center"/>
      <protection hidden="1"/>
    </xf>
    <xf numFmtId="0" fontId="16" fillId="2" borderId="33" xfId="0" applyFont="1" applyFill="1" applyBorder="1" applyAlignment="1" applyProtection="1">
      <alignment horizontal="center" vertical="center"/>
      <protection hidden="1"/>
    </xf>
    <xf numFmtId="0" fontId="16" fillId="2" borderId="53" xfId="0" applyFont="1" applyFill="1" applyBorder="1" applyAlignment="1" applyProtection="1">
      <alignment horizontal="center" vertical="center"/>
      <protection hidden="1"/>
    </xf>
    <xf numFmtId="0" fontId="16" fillId="2" borderId="54" xfId="0" applyFont="1" applyFill="1" applyBorder="1" applyAlignment="1" applyProtection="1">
      <alignment horizontal="center" vertical="center"/>
      <protection hidden="1"/>
    </xf>
    <xf numFmtId="0" fontId="0" fillId="2" borderId="55" xfId="0" applyFill="1" applyBorder="1" applyAlignment="1" applyProtection="1">
      <alignment vertical="center"/>
      <protection hidden="1"/>
    </xf>
    <xf numFmtId="0" fontId="0" fillId="2" borderId="7" xfId="0" applyFill="1" applyBorder="1" applyAlignment="1" applyProtection="1">
      <alignment vertical="center"/>
      <protection hidden="1"/>
    </xf>
    <xf numFmtId="0" fontId="0" fillId="4" borderId="14" xfId="0" applyFill="1" applyBorder="1" applyAlignment="1" applyProtection="1">
      <alignment horizontal="center" vertical="center"/>
      <protection hidden="1"/>
    </xf>
    <xf numFmtId="0" fontId="0" fillId="5" borderId="0" xfId="0" applyFill="1" applyBorder="1" applyAlignment="1"/>
    <xf numFmtId="0" fontId="0" fillId="5" borderId="15" xfId="0" applyFill="1" applyBorder="1" applyAlignment="1"/>
    <xf numFmtId="0" fontId="6" fillId="8" borderId="14" xfId="0" applyFont="1" applyFill="1" applyBorder="1" applyAlignment="1" applyProtection="1">
      <alignment horizontal="center" vertical="center"/>
      <protection hidden="1"/>
    </xf>
    <xf numFmtId="0" fontId="0" fillId="8" borderId="14" xfId="0" applyFill="1" applyBorder="1" applyAlignment="1" applyProtection="1">
      <alignment horizontal="center" vertical="center"/>
      <protection hidden="1"/>
    </xf>
    <xf numFmtId="0" fontId="0" fillId="8" borderId="41" xfId="0" applyFill="1" applyBorder="1" applyAlignment="1" applyProtection="1">
      <alignment horizontal="center" vertical="center"/>
      <protection hidden="1"/>
    </xf>
    <xf numFmtId="4" fontId="12" fillId="7" borderId="16" xfId="0" applyNumberFormat="1" applyFont="1" applyFill="1" applyBorder="1" applyAlignment="1" applyProtection="1">
      <alignment horizontal="center" vertical="center"/>
      <protection hidden="1"/>
    </xf>
    <xf numFmtId="4" fontId="12" fillId="7" borderId="0" xfId="0" applyNumberFormat="1" applyFont="1" applyFill="1" applyBorder="1" applyAlignment="1" applyProtection="1">
      <alignment horizontal="center" vertical="center"/>
      <protection hidden="1"/>
    </xf>
    <xf numFmtId="0" fontId="16" fillId="2" borderId="11" xfId="0" applyFont="1" applyFill="1" applyBorder="1" applyAlignment="1" applyProtection="1">
      <alignment horizontal="center" vertical="center" wrapText="1"/>
      <protection hidden="1"/>
    </xf>
    <xf numFmtId="0" fontId="16" fillId="2" borderId="12" xfId="0" applyFont="1" applyFill="1" applyBorder="1" applyAlignment="1" applyProtection="1">
      <alignment horizontal="center" vertical="center" wrapText="1"/>
      <protection hidden="1"/>
    </xf>
    <xf numFmtId="3" fontId="2" fillId="7" borderId="5" xfId="0" applyNumberFormat="1" applyFont="1" applyFill="1" applyBorder="1" applyAlignment="1" applyProtection="1">
      <alignment horizontal="left" vertical="center"/>
      <protection locked="0"/>
    </xf>
    <xf numFmtId="0" fontId="2" fillId="7" borderId="5" xfId="0" applyFont="1" applyFill="1" applyBorder="1" applyAlignment="1" applyProtection="1">
      <alignment horizontal="left" vertical="center"/>
      <protection locked="0"/>
    </xf>
    <xf numFmtId="0" fontId="2" fillId="7" borderId="30" xfId="0" applyFont="1" applyFill="1" applyBorder="1" applyAlignment="1" applyProtection="1">
      <alignment horizontal="left" vertical="center"/>
      <protection locked="0"/>
    </xf>
    <xf numFmtId="0" fontId="1" fillId="2" borderId="10" xfId="0" applyFont="1" applyFill="1" applyBorder="1" applyAlignment="1" applyProtection="1">
      <alignment horizontal="center" vertical="center" wrapText="1"/>
      <protection locked="0" hidden="1"/>
    </xf>
    <xf numFmtId="0" fontId="0" fillId="0" borderId="35" xfId="0" applyBorder="1" applyAlignment="1" applyProtection="1">
      <alignment horizontal="center" vertical="center"/>
      <protection locked="0" hidden="1"/>
    </xf>
    <xf numFmtId="0" fontId="15" fillId="2" borderId="31" xfId="0" applyFont="1" applyFill="1" applyBorder="1" applyAlignment="1" applyProtection="1">
      <alignment horizontal="left" vertical="center" wrapText="1"/>
      <protection locked="0" hidden="1"/>
    </xf>
    <xf numFmtId="0" fontId="15" fillId="2" borderId="14" xfId="0" applyFont="1" applyFill="1" applyBorder="1" applyAlignment="1" applyProtection="1">
      <alignment horizontal="left" vertical="center" wrapText="1"/>
      <protection locked="0" hidden="1"/>
    </xf>
    <xf numFmtId="0" fontId="15" fillId="2" borderId="41" xfId="0" applyFont="1" applyFill="1" applyBorder="1" applyAlignment="1" applyProtection="1">
      <alignment horizontal="left" vertical="center" wrapText="1"/>
      <protection locked="0" hidden="1"/>
    </xf>
    <xf numFmtId="0" fontId="0" fillId="2" borderId="16" xfId="0" applyFill="1" applyBorder="1" applyAlignment="1" applyProtection="1">
      <alignment wrapText="1"/>
      <protection locked="0" hidden="1"/>
    </xf>
    <xf numFmtId="0" fontId="0" fillId="2" borderId="0" xfId="0" applyFill="1" applyBorder="1" applyAlignment="1" applyProtection="1">
      <alignment wrapText="1"/>
      <protection locked="0" hidden="1"/>
    </xf>
    <xf numFmtId="0" fontId="0" fillId="2" borderId="17" xfId="0" applyFill="1" applyBorder="1" applyAlignment="1" applyProtection="1">
      <alignment wrapText="1"/>
      <protection locked="0" hidden="1"/>
    </xf>
    <xf numFmtId="0" fontId="2" fillId="9" borderId="0" xfId="0" applyFont="1" applyFill="1" applyBorder="1" applyAlignment="1" applyProtection="1">
      <alignment horizontal="center" vertical="center" wrapText="1"/>
      <protection hidden="1"/>
    </xf>
    <xf numFmtId="0" fontId="2" fillId="9" borderId="0" xfId="0" applyFont="1" applyFill="1" applyAlignment="1" applyProtection="1">
      <alignment horizontal="center" vertical="center"/>
      <protection hidden="1"/>
    </xf>
    <xf numFmtId="0" fontId="0" fillId="9" borderId="0" xfId="0" applyFill="1" applyAlignment="1" applyProtection="1">
      <protection hidden="1"/>
    </xf>
    <xf numFmtId="0" fontId="2" fillId="2" borderId="4" xfId="0" applyFont="1" applyFill="1" applyBorder="1" applyAlignment="1" applyProtection="1">
      <alignment horizontal="left" vertical="center"/>
    </xf>
    <xf numFmtId="0" fontId="2" fillId="2" borderId="13" xfId="0" applyFont="1" applyFill="1" applyBorder="1" applyAlignment="1" applyProtection="1">
      <alignment horizontal="left" vertical="center"/>
    </xf>
    <xf numFmtId="0" fontId="6" fillId="2" borderId="37" xfId="0" applyFont="1" applyFill="1" applyBorder="1" applyAlignment="1" applyProtection="1">
      <alignment horizontal="left" vertical="center" wrapText="1"/>
      <protection hidden="1"/>
    </xf>
    <xf numFmtId="0" fontId="6" fillId="2" borderId="40" xfId="0" applyFont="1" applyFill="1" applyBorder="1" applyAlignment="1" applyProtection="1">
      <alignment horizontal="left" vertical="center" wrapText="1"/>
      <protection hidden="1"/>
    </xf>
    <xf numFmtId="0" fontId="1" fillId="9" borderId="42" xfId="0" applyFont="1" applyFill="1" applyBorder="1" applyAlignment="1" applyProtection="1">
      <alignment horizontal="left" vertical="top"/>
      <protection locked="0"/>
    </xf>
    <xf numFmtId="0" fontId="2" fillId="9" borderId="42" xfId="0" applyFont="1" applyFill="1" applyBorder="1" applyAlignment="1" applyProtection="1">
      <alignment horizontal="left" vertical="top"/>
      <protection locked="0"/>
    </xf>
    <xf numFmtId="0" fontId="2" fillId="9" borderId="21" xfId="0" applyFont="1" applyFill="1" applyBorder="1" applyAlignment="1" applyProtection="1">
      <alignment horizontal="left" vertical="top"/>
      <protection locked="0"/>
    </xf>
    <xf numFmtId="0" fontId="2" fillId="2" borderId="12" xfId="0" applyNumberFormat="1" applyFont="1" applyFill="1" applyBorder="1" applyAlignment="1" applyProtection="1">
      <alignment horizontal="left" vertical="center"/>
    </xf>
    <xf numFmtId="0" fontId="2" fillId="2" borderId="58" xfId="0" applyNumberFormat="1" applyFont="1" applyFill="1" applyBorder="1" applyAlignment="1" applyProtection="1">
      <alignment horizontal="left" vertical="center"/>
    </xf>
    <xf numFmtId="0" fontId="4" fillId="8" borderId="31" xfId="0" applyFont="1" applyFill="1" applyBorder="1" applyAlignment="1" applyProtection="1">
      <alignment horizontal="center" vertical="center" wrapText="1"/>
      <protection hidden="1"/>
    </xf>
    <xf numFmtId="0" fontId="0" fillId="8" borderId="14" xfId="0" applyFill="1" applyBorder="1" applyAlignment="1" applyProtection="1">
      <protection hidden="1"/>
    </xf>
    <xf numFmtId="0" fontId="0" fillId="8" borderId="41" xfId="0" applyFill="1" applyBorder="1" applyAlignment="1" applyProtection="1">
      <protection hidden="1"/>
    </xf>
    <xf numFmtId="0" fontId="0" fillId="8" borderId="32" xfId="0" applyFill="1" applyBorder="1" applyAlignment="1" applyProtection="1">
      <protection hidden="1"/>
    </xf>
    <xf numFmtId="0" fontId="0" fillId="8" borderId="15" xfId="0" applyFill="1" applyBorder="1" applyAlignment="1" applyProtection="1">
      <protection hidden="1"/>
    </xf>
    <xf numFmtId="0" fontId="0" fillId="8" borderId="29" xfId="0" applyFill="1" applyBorder="1" applyAlignment="1" applyProtection="1">
      <protection hidden="1"/>
    </xf>
    <xf numFmtId="0" fontId="6" fillId="2" borderId="36" xfId="0" applyFont="1" applyFill="1" applyBorder="1" applyAlignment="1" applyProtection="1">
      <alignment horizontal="left" vertical="center" wrapText="1"/>
      <protection hidden="1"/>
    </xf>
    <xf numFmtId="0" fontId="7" fillId="2" borderId="37" xfId="0" applyFont="1" applyFill="1" applyBorder="1" applyAlignment="1" applyProtection="1">
      <alignment horizontal="left" vertical="center"/>
      <protection hidden="1"/>
    </xf>
    <xf numFmtId="0" fontId="7" fillId="2" borderId="40" xfId="0" applyFont="1" applyFill="1" applyBorder="1" applyAlignment="1" applyProtection="1">
      <alignment horizontal="left" vertical="center"/>
      <protection hidden="1"/>
    </xf>
    <xf numFmtId="0" fontId="16" fillId="9" borderId="0" xfId="0" applyFont="1" applyFill="1" applyBorder="1" applyAlignment="1" applyProtection="1">
      <alignment vertical="center" wrapText="1"/>
      <protection hidden="1"/>
    </xf>
    <xf numFmtId="0" fontId="0" fillId="9" borderId="0" xfId="0" applyFill="1" applyAlignment="1">
      <alignment wrapText="1"/>
    </xf>
    <xf numFmtId="0" fontId="0" fillId="9" borderId="15" xfId="0" applyFill="1" applyBorder="1" applyAlignment="1">
      <alignment wrapText="1"/>
    </xf>
    <xf numFmtId="0" fontId="25" fillId="6" borderId="0" xfId="0" applyFont="1" applyFill="1" applyAlignment="1" applyProtection="1">
      <alignment horizontal="left" wrapText="1"/>
      <protection hidden="1"/>
    </xf>
    <xf numFmtId="0" fontId="25" fillId="6" borderId="0" xfId="0" applyFont="1" applyFill="1" applyAlignment="1" applyProtection="1">
      <alignment horizontal="left"/>
      <protection hidden="1"/>
    </xf>
    <xf numFmtId="0" fontId="1" fillId="9" borderId="4" xfId="0" applyFont="1" applyFill="1" applyBorder="1" applyAlignment="1" applyProtection="1">
      <alignment horizontal="left" vertical="center"/>
      <protection locked="0"/>
    </xf>
    <xf numFmtId="0" fontId="2" fillId="9" borderId="4" xfId="0" applyFont="1" applyFill="1" applyBorder="1" applyAlignment="1" applyProtection="1">
      <alignment horizontal="left" vertical="center"/>
      <protection locked="0"/>
    </xf>
    <xf numFmtId="0" fontId="2" fillId="9" borderId="13" xfId="0" applyFont="1" applyFill="1" applyBorder="1" applyAlignment="1" applyProtection="1">
      <alignment horizontal="left" vertical="center"/>
      <protection locked="0"/>
    </xf>
    <xf numFmtId="0" fontId="0" fillId="2" borderId="22" xfId="0" applyFill="1" applyBorder="1" applyAlignment="1" applyProtection="1">
      <alignment horizontal="left" vertical="center" wrapText="1"/>
      <protection locked="0"/>
    </xf>
    <xf numFmtId="0" fontId="0" fillId="2" borderId="23" xfId="0" applyFill="1" applyBorder="1" applyAlignment="1" applyProtection="1">
      <alignment horizontal="left" vertical="center" wrapText="1"/>
      <protection locked="0"/>
    </xf>
    <xf numFmtId="0" fontId="1" fillId="9" borderId="22" xfId="0" applyFont="1" applyFill="1" applyBorder="1" applyAlignment="1" applyProtection="1">
      <alignment horizontal="left" vertical="top" wrapText="1"/>
      <protection locked="0"/>
    </xf>
    <xf numFmtId="0" fontId="0" fillId="9" borderId="47" xfId="0" applyFill="1" applyBorder="1" applyAlignment="1" applyProtection="1">
      <alignment vertical="top"/>
      <protection locked="0"/>
    </xf>
    <xf numFmtId="0" fontId="0" fillId="9" borderId="46" xfId="0" applyFill="1" applyBorder="1" applyAlignment="1" applyProtection="1">
      <alignment vertical="top"/>
      <protection locked="0"/>
    </xf>
    <xf numFmtId="0" fontId="1" fillId="9" borderId="42" xfId="0" applyFont="1" applyFill="1" applyBorder="1" applyAlignment="1" applyProtection="1">
      <alignment horizontal="left" vertical="top" wrapText="1"/>
      <protection locked="0"/>
    </xf>
    <xf numFmtId="0" fontId="2" fillId="9" borderId="42" xfId="0" applyFont="1" applyFill="1" applyBorder="1" applyAlignment="1" applyProtection="1">
      <alignment horizontal="left" vertical="top" wrapText="1"/>
      <protection locked="0"/>
    </xf>
    <xf numFmtId="0" fontId="2" fillId="9" borderId="21" xfId="0" applyFont="1" applyFill="1" applyBorder="1" applyAlignment="1" applyProtection="1">
      <alignment horizontal="left" vertical="top" wrapText="1"/>
      <protection locked="0"/>
    </xf>
    <xf numFmtId="4" fontId="14" fillId="7" borderId="3" xfId="0" applyNumberFormat="1" applyFont="1" applyFill="1" applyBorder="1" applyAlignment="1" applyProtection="1">
      <alignment horizontal="center" vertical="center"/>
      <protection hidden="1"/>
    </xf>
    <xf numFmtId="0" fontId="12" fillId="7" borderId="21" xfId="0" applyFont="1" applyFill="1" applyBorder="1" applyAlignment="1" applyProtection="1">
      <alignment horizontal="center" vertical="center"/>
      <protection hidden="1"/>
    </xf>
    <xf numFmtId="9" fontId="0" fillId="9" borderId="36" xfId="2" applyFont="1" applyFill="1" applyBorder="1" applyAlignment="1" applyProtection="1">
      <alignment horizontal="center" wrapText="1"/>
      <protection locked="0" hidden="1"/>
    </xf>
    <xf numFmtId="9" fontId="0" fillId="9" borderId="40" xfId="2" applyFont="1" applyFill="1" applyBorder="1" applyAlignment="1" applyProtection="1">
      <alignment horizontal="center" wrapText="1"/>
      <protection locked="0" hidden="1"/>
    </xf>
    <xf numFmtId="0" fontId="8" fillId="8" borderId="31" xfId="0" applyFont="1" applyFill="1" applyBorder="1" applyAlignment="1" applyProtection="1">
      <alignment horizontal="center" vertical="center"/>
      <protection hidden="1"/>
    </xf>
    <xf numFmtId="0" fontId="0" fillId="8" borderId="40" xfId="0" applyFill="1" applyBorder="1" applyAlignment="1" applyProtection="1">
      <alignment horizontal="center" vertical="center"/>
      <protection hidden="1"/>
    </xf>
    <xf numFmtId="0" fontId="1" fillId="9" borderId="4" xfId="0" applyFont="1" applyFill="1" applyBorder="1" applyAlignment="1" applyProtection="1">
      <alignment horizontal="left" vertical="center"/>
      <protection hidden="1"/>
    </xf>
    <xf numFmtId="0" fontId="0" fillId="9" borderId="4" xfId="0" applyFill="1" applyBorder="1" applyAlignment="1" applyProtection="1">
      <alignment horizontal="left" vertical="center"/>
      <protection hidden="1"/>
    </xf>
    <xf numFmtId="0" fontId="0" fillId="9" borderId="13" xfId="0" applyFill="1" applyBorder="1" applyAlignment="1" applyProtection="1">
      <alignment horizontal="left" vertical="center"/>
      <protection hidden="1"/>
    </xf>
    <xf numFmtId="0" fontId="0" fillId="9" borderId="5" xfId="0" applyFill="1" applyBorder="1" applyAlignment="1" applyProtection="1">
      <alignment horizontal="left" vertical="center"/>
      <protection hidden="1"/>
    </xf>
    <xf numFmtId="0" fontId="0" fillId="9" borderId="18" xfId="0" applyFill="1" applyBorder="1" applyAlignment="1" applyProtection="1">
      <alignment horizontal="left" vertical="center"/>
      <protection hidden="1"/>
    </xf>
    <xf numFmtId="0" fontId="1" fillId="9" borderId="30" xfId="0" applyFont="1" applyFill="1" applyBorder="1" applyAlignment="1" applyProtection="1">
      <alignment horizontal="left" vertical="center" wrapText="1"/>
      <protection locked="0"/>
    </xf>
    <xf numFmtId="0" fontId="2" fillId="9" borderId="55" xfId="0" applyFont="1" applyFill="1" applyBorder="1" applyAlignment="1" applyProtection="1">
      <alignment horizontal="left" vertical="center" wrapText="1"/>
      <protection locked="0"/>
    </xf>
    <xf numFmtId="0" fontId="2" fillId="9" borderId="56" xfId="0" applyFont="1" applyFill="1" applyBorder="1" applyAlignment="1" applyProtection="1">
      <alignment horizontal="left" vertical="center" wrapText="1"/>
      <protection locked="0"/>
    </xf>
    <xf numFmtId="0" fontId="1" fillId="9" borderId="5" xfId="0" applyFont="1" applyFill="1" applyBorder="1" applyAlignment="1" applyProtection="1">
      <alignment horizontal="left" vertical="center" wrapText="1"/>
      <protection locked="0"/>
    </xf>
    <xf numFmtId="0" fontId="2" fillId="9" borderId="5" xfId="0" applyFont="1" applyFill="1" applyBorder="1" applyAlignment="1" applyProtection="1">
      <alignment horizontal="left" vertical="center" wrapText="1"/>
      <protection locked="0"/>
    </xf>
    <xf numFmtId="0" fontId="2" fillId="9" borderId="18" xfId="0" applyFont="1" applyFill="1" applyBorder="1" applyAlignment="1" applyProtection="1">
      <alignment horizontal="left" vertical="center" wrapText="1"/>
      <protection locked="0"/>
    </xf>
    <xf numFmtId="0" fontId="0" fillId="2" borderId="30" xfId="0" applyFill="1" applyBorder="1" applyAlignment="1" applyProtection="1">
      <alignment vertical="center"/>
      <protection hidden="1"/>
    </xf>
    <xf numFmtId="0" fontId="0" fillId="0" borderId="7" xfId="0" applyBorder="1" applyAlignment="1" applyProtection="1">
      <protection hidden="1"/>
    </xf>
    <xf numFmtId="0" fontId="1" fillId="2" borderId="28" xfId="0" applyFont="1" applyFill="1" applyBorder="1" applyAlignment="1" applyProtection="1">
      <alignment horizontal="left" vertical="center"/>
      <protection hidden="1"/>
    </xf>
    <xf numFmtId="0" fontId="1" fillId="2" borderId="27" xfId="0" applyFont="1" applyFill="1" applyBorder="1" applyAlignment="1" applyProtection="1">
      <alignment horizontal="left" vertical="center"/>
      <protection hidden="1"/>
    </xf>
    <xf numFmtId="0" fontId="1" fillId="2" borderId="33" xfId="0" applyFont="1" applyFill="1" applyBorder="1" applyAlignment="1" applyProtection="1">
      <alignment horizontal="left" vertical="center"/>
      <protection hidden="1"/>
    </xf>
    <xf numFmtId="0" fontId="1" fillId="2" borderId="54" xfId="0" applyFont="1" applyFill="1" applyBorder="1" applyAlignment="1" applyProtection="1">
      <alignment horizontal="left" vertical="center"/>
      <protection hidden="1"/>
    </xf>
    <xf numFmtId="164" fontId="1" fillId="9" borderId="22" xfId="0" applyNumberFormat="1" applyFont="1" applyFill="1" applyBorder="1" applyAlignment="1" applyProtection="1">
      <alignment horizontal="left" vertical="top"/>
      <protection locked="0"/>
    </xf>
    <xf numFmtId="164" fontId="2" fillId="9" borderId="47" xfId="0" applyNumberFormat="1" applyFont="1" applyFill="1" applyBorder="1" applyAlignment="1" applyProtection="1">
      <alignment horizontal="left" vertical="top"/>
      <protection locked="0"/>
    </xf>
    <xf numFmtId="164" fontId="2" fillId="9" borderId="46" xfId="0" applyNumberFormat="1" applyFont="1" applyFill="1" applyBorder="1" applyAlignment="1" applyProtection="1">
      <alignment horizontal="left" vertical="top"/>
      <protection locked="0"/>
    </xf>
    <xf numFmtId="0" fontId="0" fillId="7" borderId="32" xfId="0" applyFill="1" applyBorder="1" applyAlignment="1" applyProtection="1">
      <alignment horizontal="right" vertical="center" wrapText="1"/>
      <protection hidden="1"/>
    </xf>
    <xf numFmtId="0" fontId="0" fillId="7" borderId="15" xfId="0" applyFill="1" applyBorder="1" applyAlignment="1" applyProtection="1">
      <alignment horizontal="right" vertical="center" wrapText="1"/>
      <protection hidden="1"/>
    </xf>
    <xf numFmtId="0" fontId="0" fillId="7" borderId="50" xfId="0" applyFill="1" applyBorder="1" applyAlignment="1" applyProtection="1">
      <alignment horizontal="left" vertical="center"/>
      <protection locked="0" hidden="1"/>
    </xf>
    <xf numFmtId="0" fontId="0" fillId="7" borderId="51" xfId="0" applyFill="1" applyBorder="1" applyAlignment="1" applyProtection="1">
      <alignment horizontal="left" vertical="center"/>
      <protection locked="0" hidden="1"/>
    </xf>
    <xf numFmtId="0" fontId="0" fillId="7" borderId="49" xfId="0" applyFill="1" applyBorder="1" applyAlignment="1" applyProtection="1">
      <alignment horizontal="left" vertical="center"/>
      <protection locked="0" hidden="1"/>
    </xf>
    <xf numFmtId="0" fontId="0" fillId="0" borderId="9" xfId="0" applyFill="1" applyBorder="1" applyAlignment="1" applyProtection="1">
      <alignment horizontal="center" vertical="center"/>
      <protection locked="0"/>
    </xf>
    <xf numFmtId="0" fontId="0" fillId="0" borderId="43" xfId="0" applyFill="1" applyBorder="1" applyAlignment="1" applyProtection="1">
      <alignment horizontal="center" vertical="center"/>
      <protection locked="0"/>
    </xf>
    <xf numFmtId="3" fontId="2" fillId="9" borderId="60" xfId="0" applyNumberFormat="1" applyFont="1" applyFill="1" applyBorder="1" applyAlignment="1" applyProtection="1">
      <alignment horizontal="center" vertical="center"/>
      <protection locked="0" hidden="1"/>
    </xf>
    <xf numFmtId="3" fontId="0" fillId="9" borderId="61" xfId="0" applyNumberFormat="1" applyFill="1" applyBorder="1" applyAlignment="1" applyProtection="1">
      <alignment horizontal="center" vertical="center"/>
      <protection locked="0" hidden="1"/>
    </xf>
    <xf numFmtId="3" fontId="2" fillId="9" borderId="55" xfId="0" applyNumberFormat="1" applyFont="1" applyFill="1" applyBorder="1" applyAlignment="1" applyProtection="1">
      <alignment horizontal="center" vertical="center"/>
      <protection locked="0" hidden="1"/>
    </xf>
    <xf numFmtId="3" fontId="0" fillId="9" borderId="56" xfId="0" applyNumberFormat="1" applyFill="1" applyBorder="1" applyAlignment="1" applyProtection="1">
      <alignment horizontal="center" vertical="center"/>
      <protection locked="0" hidden="1"/>
    </xf>
    <xf numFmtId="0" fontId="0" fillId="7" borderId="16" xfId="0" applyFill="1" applyBorder="1" applyAlignment="1" applyProtection="1">
      <alignment horizontal="right" vertical="center" wrapText="1"/>
      <protection hidden="1"/>
    </xf>
    <xf numFmtId="0" fontId="0" fillId="7" borderId="0" xfId="0" applyFill="1" applyBorder="1" applyAlignment="1" applyProtection="1">
      <alignment horizontal="right" vertical="center" wrapText="1"/>
      <protection hidden="1"/>
    </xf>
    <xf numFmtId="0" fontId="0" fillId="7" borderId="31" xfId="0" applyFill="1" applyBorder="1" applyAlignment="1" applyProtection="1">
      <alignment horizontal="right" vertical="center" wrapText="1"/>
      <protection hidden="1"/>
    </xf>
    <xf numFmtId="0" fontId="0" fillId="7" borderId="14" xfId="0" applyFill="1" applyBorder="1" applyAlignment="1" applyProtection="1">
      <alignment horizontal="right" vertical="center" wrapText="1"/>
      <protection hidden="1"/>
    </xf>
    <xf numFmtId="0" fontId="8" fillId="8" borderId="36" xfId="0" applyFont="1" applyFill="1" applyBorder="1" applyAlignment="1" applyProtection="1">
      <alignment horizontal="center" wrapText="1"/>
      <protection hidden="1"/>
    </xf>
    <xf numFmtId="0" fontId="8" fillId="8" borderId="37" xfId="0" applyFont="1" applyFill="1" applyBorder="1" applyAlignment="1" applyProtection="1">
      <alignment horizontal="center" wrapText="1"/>
      <protection hidden="1"/>
    </xf>
    <xf numFmtId="0" fontId="8" fillId="8" borderId="40" xfId="0" applyFont="1" applyFill="1" applyBorder="1" applyAlignment="1" applyProtection="1">
      <alignment horizontal="center" wrapText="1"/>
      <protection hidden="1"/>
    </xf>
    <xf numFmtId="0" fontId="8" fillId="8" borderId="14" xfId="0" applyFont="1" applyFill="1" applyBorder="1" applyAlignment="1" applyProtection="1">
      <alignment horizontal="center" wrapText="1"/>
      <protection hidden="1"/>
    </xf>
    <xf numFmtId="0" fontId="8" fillId="8" borderId="41" xfId="0" applyFont="1" applyFill="1" applyBorder="1" applyAlignment="1" applyProtection="1">
      <alignment horizontal="center" wrapText="1"/>
      <protection hidden="1"/>
    </xf>
    <xf numFmtId="0" fontId="0" fillId="2" borderId="28" xfId="0" applyFill="1" applyBorder="1" applyAlignment="1" applyProtection="1">
      <alignment wrapText="1"/>
      <protection hidden="1"/>
    </xf>
    <xf numFmtId="0" fontId="0" fillId="2" borderId="0" xfId="0" applyFill="1" applyBorder="1" applyAlignment="1" applyProtection="1">
      <alignment wrapText="1"/>
      <protection hidden="1"/>
    </xf>
    <xf numFmtId="0" fontId="8" fillId="8" borderId="36" xfId="0" applyFont="1" applyFill="1" applyBorder="1" applyAlignment="1" applyProtection="1">
      <alignment horizontal="center" vertical="center"/>
      <protection hidden="1"/>
    </xf>
    <xf numFmtId="0" fontId="8" fillId="8" borderId="37" xfId="0" applyFont="1" applyFill="1" applyBorder="1" applyAlignment="1" applyProtection="1">
      <alignment horizontal="center" vertical="center"/>
      <protection hidden="1"/>
    </xf>
    <xf numFmtId="0" fontId="8" fillId="8" borderId="40" xfId="0" applyFont="1" applyFill="1" applyBorder="1" applyAlignment="1" applyProtection="1">
      <alignment horizontal="center" vertical="center"/>
      <protection hidden="1"/>
    </xf>
    <xf numFmtId="0" fontId="1" fillId="2" borderId="57" xfId="0" applyFont="1" applyFill="1" applyBorder="1" applyAlignment="1" applyProtection="1">
      <alignment horizontal="left" vertical="center" wrapText="1"/>
      <protection hidden="1"/>
    </xf>
    <xf numFmtId="0" fontId="1" fillId="2" borderId="1" xfId="0" applyFont="1" applyFill="1" applyBorder="1" applyAlignment="1" applyProtection="1">
      <alignment horizontal="left" vertical="center" wrapText="1"/>
      <protection hidden="1"/>
    </xf>
    <xf numFmtId="0" fontId="1" fillId="2" borderId="31" xfId="0" applyFont="1" applyFill="1" applyBorder="1" applyAlignment="1" applyProtection="1">
      <alignment horizontal="left" vertical="center" wrapText="1"/>
      <protection hidden="1"/>
    </xf>
    <xf numFmtId="0" fontId="1" fillId="0" borderId="65" xfId="0" applyFont="1" applyBorder="1" applyAlignment="1" applyProtection="1">
      <alignment horizontal="left" vertical="center" wrapText="1"/>
      <protection hidden="1"/>
    </xf>
    <xf numFmtId="0" fontId="1" fillId="0" borderId="16" xfId="0" applyFont="1" applyBorder="1" applyAlignment="1" applyProtection="1">
      <alignment horizontal="left" vertical="center" wrapText="1"/>
      <protection hidden="1"/>
    </xf>
    <xf numFmtId="0" fontId="1" fillId="0" borderId="27" xfId="0" applyFont="1" applyBorder="1" applyAlignment="1" applyProtection="1">
      <alignment horizontal="left" vertical="center" wrapText="1"/>
      <protection hidden="1"/>
    </xf>
    <xf numFmtId="0" fontId="1" fillId="0" borderId="32" xfId="0" applyFont="1" applyBorder="1" applyAlignment="1" applyProtection="1">
      <alignment horizontal="left" vertical="center" wrapText="1"/>
      <protection hidden="1"/>
    </xf>
    <xf numFmtId="0" fontId="1" fillId="0" borderId="64" xfId="0" applyFont="1" applyBorder="1" applyAlignment="1" applyProtection="1">
      <alignment horizontal="left" vertical="center" wrapText="1"/>
      <protection hidden="1"/>
    </xf>
    <xf numFmtId="0" fontId="0" fillId="2" borderId="28" xfId="0" applyFill="1" applyBorder="1" applyAlignment="1" applyProtection="1">
      <protection hidden="1"/>
    </xf>
    <xf numFmtId="0" fontId="0" fillId="2" borderId="0" xfId="0" applyFill="1" applyBorder="1" applyAlignment="1" applyProtection="1">
      <protection hidden="1"/>
    </xf>
    <xf numFmtId="0" fontId="0" fillId="2" borderId="59" xfId="0" applyFill="1" applyBorder="1" applyAlignment="1" applyProtection="1">
      <alignment vertical="center"/>
      <protection hidden="1"/>
    </xf>
    <xf numFmtId="0" fontId="0" fillId="0" borderId="6" xfId="0" applyBorder="1" applyAlignment="1" applyProtection="1">
      <protection hidden="1"/>
    </xf>
    <xf numFmtId="0" fontId="1" fillId="2" borderId="11" xfId="0" applyFont="1" applyFill="1" applyBorder="1" applyAlignment="1" applyProtection="1">
      <alignment horizontal="center" vertical="center" wrapText="1"/>
      <protection hidden="1"/>
    </xf>
    <xf numFmtId="0" fontId="1" fillId="2" borderId="12" xfId="0" applyFont="1" applyFill="1" applyBorder="1" applyAlignment="1" applyProtection="1">
      <alignment horizontal="center" vertical="center" wrapText="1"/>
      <protection hidden="1"/>
    </xf>
    <xf numFmtId="0" fontId="0" fillId="7" borderId="50" xfId="0" applyFill="1" applyBorder="1" applyAlignment="1" applyProtection="1">
      <alignment horizontal="center"/>
      <protection locked="0"/>
    </xf>
    <xf numFmtId="0" fontId="0" fillId="7" borderId="51" xfId="0" applyFill="1" applyBorder="1" applyAlignment="1" applyProtection="1">
      <alignment horizontal="center"/>
      <protection locked="0"/>
    </xf>
    <xf numFmtId="0" fontId="0" fillId="7" borderId="49" xfId="0" applyFill="1" applyBorder="1" applyAlignment="1" applyProtection="1">
      <alignment horizontal="center"/>
      <protection locked="0"/>
    </xf>
    <xf numFmtId="0" fontId="0" fillId="7" borderId="28"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0" fillId="7" borderId="17" xfId="0" applyFill="1" applyBorder="1" applyAlignment="1" applyProtection="1">
      <alignment horizontal="center"/>
      <protection locked="0"/>
    </xf>
    <xf numFmtId="0" fontId="0" fillId="7" borderId="33" xfId="0" applyFill="1" applyBorder="1" applyAlignment="1" applyProtection="1">
      <alignment horizontal="center"/>
      <protection locked="0"/>
    </xf>
    <xf numFmtId="0" fontId="0" fillId="7" borderId="53" xfId="0" applyFill="1" applyBorder="1" applyAlignment="1" applyProtection="1">
      <alignment horizontal="center"/>
      <protection locked="0"/>
    </xf>
    <xf numFmtId="0" fontId="0" fillId="7" borderId="48" xfId="0" applyFill="1" applyBorder="1" applyAlignment="1" applyProtection="1">
      <alignment horizontal="center"/>
      <protection locked="0"/>
    </xf>
    <xf numFmtId="0" fontId="0" fillId="7" borderId="24" xfId="0" applyFill="1" applyBorder="1" applyAlignment="1">
      <alignment horizontal="center"/>
    </xf>
    <xf numFmtId="0" fontId="0" fillId="7" borderId="15" xfId="0" applyFill="1" applyBorder="1" applyAlignment="1">
      <alignment horizontal="center"/>
    </xf>
    <xf numFmtId="0" fontId="0" fillId="7" borderId="29" xfId="0" applyFill="1" applyBorder="1" applyAlignment="1">
      <alignment horizontal="center"/>
    </xf>
    <xf numFmtId="0" fontId="15" fillId="2" borderId="31" xfId="0" applyFont="1" applyFill="1" applyBorder="1" applyAlignment="1" applyProtection="1">
      <alignment horizontal="left" vertical="center"/>
      <protection hidden="1"/>
    </xf>
    <xf numFmtId="0" fontId="15" fillId="2" borderId="14" xfId="0" applyFont="1" applyFill="1" applyBorder="1" applyAlignment="1" applyProtection="1">
      <alignment horizontal="left" vertical="center"/>
      <protection hidden="1"/>
    </xf>
    <xf numFmtId="0" fontId="15" fillId="2" borderId="41" xfId="0" applyFont="1" applyFill="1" applyBorder="1" applyAlignment="1" applyProtection="1">
      <alignment horizontal="left" vertical="center"/>
      <protection hidden="1"/>
    </xf>
    <xf numFmtId="0" fontId="15" fillId="2" borderId="16" xfId="0" applyFont="1" applyFill="1" applyBorder="1" applyAlignment="1" applyProtection="1">
      <alignment horizontal="left" vertical="center"/>
      <protection hidden="1"/>
    </xf>
    <xf numFmtId="0" fontId="15" fillId="2" borderId="0" xfId="0" applyFont="1" applyFill="1" applyBorder="1" applyAlignment="1" applyProtection="1">
      <alignment horizontal="left" vertical="center"/>
      <protection hidden="1"/>
    </xf>
    <xf numFmtId="0" fontId="15" fillId="2" borderId="17" xfId="0" applyFont="1" applyFill="1" applyBorder="1" applyAlignment="1" applyProtection="1">
      <alignment horizontal="left" vertical="center"/>
      <protection hidden="1"/>
    </xf>
    <xf numFmtId="0" fontId="15" fillId="2" borderId="32" xfId="0" applyFont="1" applyFill="1" applyBorder="1" applyAlignment="1" applyProtection="1">
      <alignment horizontal="left" vertical="center"/>
      <protection hidden="1"/>
    </xf>
    <xf numFmtId="0" fontId="15" fillId="2" borderId="15" xfId="0" applyFont="1" applyFill="1" applyBorder="1" applyAlignment="1" applyProtection="1">
      <alignment horizontal="left" vertical="center"/>
      <protection hidden="1"/>
    </xf>
    <xf numFmtId="0" fontId="15" fillId="2" borderId="29" xfId="0" applyFont="1" applyFill="1" applyBorder="1" applyAlignment="1" applyProtection="1">
      <alignment horizontal="left" vertical="center"/>
      <protection hidden="1"/>
    </xf>
    <xf numFmtId="3" fontId="1" fillId="9" borderId="22" xfId="0" applyNumberFormat="1" applyFont="1" applyFill="1" applyBorder="1" applyAlignment="1" applyProtection="1">
      <alignment horizontal="left" vertical="center" wrapText="1"/>
      <protection locked="0" hidden="1"/>
    </xf>
    <xf numFmtId="0" fontId="1" fillId="9" borderId="47" xfId="0" applyFont="1" applyFill="1" applyBorder="1" applyAlignment="1">
      <alignment horizontal="left" vertical="center" wrapText="1"/>
    </xf>
    <xf numFmtId="0" fontId="0" fillId="2" borderId="24" xfId="0" applyFill="1" applyBorder="1" applyAlignment="1" applyProtection="1">
      <alignment wrapText="1"/>
      <protection hidden="1"/>
    </xf>
    <xf numFmtId="0" fontId="0" fillId="2" borderId="15" xfId="0" applyFill="1" applyBorder="1" applyAlignment="1" applyProtection="1">
      <alignment wrapText="1"/>
      <protection hidden="1"/>
    </xf>
    <xf numFmtId="3" fontId="2" fillId="2" borderId="22" xfId="0" applyNumberFormat="1" applyFont="1" applyFill="1" applyBorder="1" applyAlignment="1" applyProtection="1">
      <alignment horizontal="left" vertical="center" wrapText="1"/>
    </xf>
    <xf numFmtId="3" fontId="2" fillId="2" borderId="47" xfId="0" applyNumberFormat="1" applyFont="1" applyFill="1" applyBorder="1" applyAlignment="1" applyProtection="1">
      <alignment horizontal="left" vertical="center" wrapText="1"/>
    </xf>
    <xf numFmtId="3" fontId="2" fillId="2" borderId="46" xfId="0" applyNumberFormat="1" applyFont="1" applyFill="1" applyBorder="1" applyAlignment="1" applyProtection="1">
      <alignment horizontal="left" vertical="center" wrapText="1"/>
    </xf>
    <xf numFmtId="0" fontId="1" fillId="9" borderId="50" xfId="0" applyFont="1" applyFill="1" applyBorder="1" applyAlignment="1" applyProtection="1">
      <alignment horizontal="left" vertical="center"/>
      <protection locked="0"/>
    </xf>
    <xf numFmtId="0" fontId="0" fillId="9" borderId="51" xfId="0" applyFill="1" applyBorder="1" applyAlignment="1" applyProtection="1">
      <alignment horizontal="left" vertical="center"/>
      <protection locked="0"/>
    </xf>
    <xf numFmtId="0" fontId="0" fillId="9" borderId="49" xfId="0" applyFill="1" applyBorder="1" applyAlignment="1" applyProtection="1">
      <alignment horizontal="left" vertical="center"/>
      <protection locked="0"/>
    </xf>
    <xf numFmtId="0" fontId="0" fillId="9" borderId="33" xfId="0" applyFill="1" applyBorder="1" applyAlignment="1" applyProtection="1">
      <alignment horizontal="left" vertical="center"/>
      <protection locked="0"/>
    </xf>
    <xf numFmtId="0" fontId="0" fillId="9" borderId="53" xfId="0" applyFill="1" applyBorder="1" applyAlignment="1" applyProtection="1">
      <alignment horizontal="left" vertical="center"/>
      <protection locked="0"/>
    </xf>
    <xf numFmtId="0" fontId="0" fillId="9" borderId="48" xfId="0" applyFill="1" applyBorder="1" applyAlignment="1" applyProtection="1">
      <alignment horizontal="left" vertical="center"/>
      <protection locked="0"/>
    </xf>
    <xf numFmtId="0" fontId="2" fillId="2" borderId="45" xfId="0" applyFont="1" applyFill="1" applyBorder="1" applyAlignment="1" applyProtection="1">
      <alignment vertical="center" wrapText="1"/>
      <protection hidden="1"/>
    </xf>
    <xf numFmtId="0" fontId="0" fillId="0" borderId="66" xfId="0" applyBorder="1" applyAlignment="1">
      <alignment vertical="center" wrapText="1"/>
    </xf>
    <xf numFmtId="4" fontId="2" fillId="7" borderId="59" xfId="0" applyNumberFormat="1" applyFont="1" applyFill="1" applyBorder="1" applyAlignment="1" applyProtection="1">
      <alignment horizontal="left" vertical="center"/>
      <protection locked="0"/>
    </xf>
    <xf numFmtId="0" fontId="2" fillId="7" borderId="60" xfId="0" applyFont="1" applyFill="1" applyBorder="1" applyAlignment="1" applyProtection="1">
      <alignment horizontal="left" vertical="center"/>
      <protection locked="0"/>
    </xf>
    <xf numFmtId="0" fontId="2" fillId="7" borderId="61" xfId="0" applyFont="1" applyFill="1" applyBorder="1" applyAlignment="1" applyProtection="1">
      <alignment horizontal="left" vertical="center"/>
      <protection locked="0"/>
    </xf>
    <xf numFmtId="0" fontId="6" fillId="8" borderId="31" xfId="0" applyFont="1" applyFill="1" applyBorder="1" applyAlignment="1" applyProtection="1">
      <alignment horizontal="center" vertical="center"/>
      <protection hidden="1"/>
    </xf>
    <xf numFmtId="0" fontId="0" fillId="8" borderId="14" xfId="0" applyFill="1" applyBorder="1" applyAlignment="1" applyProtection="1">
      <alignment horizontal="center" vertical="center"/>
    </xf>
    <xf numFmtId="0" fontId="0" fillId="8" borderId="41" xfId="0" applyFill="1" applyBorder="1" applyAlignment="1" applyProtection="1">
      <alignment horizontal="center" vertical="center"/>
    </xf>
    <xf numFmtId="0" fontId="6" fillId="8" borderId="31" xfId="0" applyFont="1" applyFill="1" applyBorder="1" applyAlignment="1" applyProtection="1">
      <alignment horizontal="center" vertical="center" wrapText="1"/>
      <protection hidden="1"/>
    </xf>
    <xf numFmtId="0" fontId="6" fillId="8" borderId="14" xfId="0" applyFont="1" applyFill="1" applyBorder="1" applyAlignment="1" applyProtection="1">
      <alignment horizontal="center" vertical="center" wrapText="1"/>
      <protection hidden="1"/>
    </xf>
    <xf numFmtId="0" fontId="6" fillId="8" borderId="41" xfId="0" applyFont="1" applyFill="1" applyBorder="1" applyAlignment="1" applyProtection="1">
      <alignment horizontal="center" vertical="center" wrapText="1"/>
      <protection hidden="1"/>
    </xf>
    <xf numFmtId="0" fontId="6" fillId="8" borderId="32" xfId="0" applyFont="1" applyFill="1" applyBorder="1" applyAlignment="1" applyProtection="1">
      <alignment horizontal="center" vertical="center" wrapText="1"/>
      <protection hidden="1"/>
    </xf>
    <xf numFmtId="0" fontId="6" fillId="8" borderId="15" xfId="0" applyFont="1" applyFill="1" applyBorder="1" applyAlignment="1" applyProtection="1">
      <alignment horizontal="center" vertical="center" wrapText="1"/>
      <protection hidden="1"/>
    </xf>
    <xf numFmtId="0" fontId="6" fillId="8" borderId="29" xfId="0" applyFont="1" applyFill="1" applyBorder="1" applyAlignment="1" applyProtection="1">
      <alignment horizontal="center" vertical="center" wrapText="1"/>
      <protection hidden="1"/>
    </xf>
    <xf numFmtId="0" fontId="2" fillId="2" borderId="31" xfId="0" applyFont="1" applyFill="1" applyBorder="1" applyAlignment="1" applyProtection="1">
      <alignment horizontal="left" vertical="center" wrapText="1"/>
    </xf>
    <xf numFmtId="0" fontId="2" fillId="2" borderId="14" xfId="0" applyFont="1" applyFill="1" applyBorder="1" applyAlignment="1" applyProtection="1">
      <alignment horizontal="left" vertical="center" wrapText="1"/>
    </xf>
    <xf numFmtId="0" fontId="2" fillId="2" borderId="41" xfId="0" applyFont="1" applyFill="1" applyBorder="1" applyAlignment="1" applyProtection="1">
      <alignment horizontal="left" vertical="center" wrapText="1"/>
    </xf>
    <xf numFmtId="0" fontId="2" fillId="2" borderId="16" xfId="0" applyFont="1" applyFill="1" applyBorder="1" applyAlignment="1" applyProtection="1">
      <alignment horizontal="left" vertical="center" wrapText="1"/>
    </xf>
    <xf numFmtId="0" fontId="2" fillId="2" borderId="0" xfId="0" applyFont="1" applyFill="1" applyBorder="1" applyAlignment="1" applyProtection="1">
      <alignment horizontal="left" vertical="center" wrapText="1"/>
    </xf>
    <xf numFmtId="0" fontId="2" fillId="2" borderId="17" xfId="0" applyFont="1" applyFill="1" applyBorder="1" applyAlignment="1" applyProtection="1">
      <alignment horizontal="left" vertical="center" wrapText="1"/>
    </xf>
    <xf numFmtId="0" fontId="2" fillId="2" borderId="32" xfId="0" applyFont="1" applyFill="1" applyBorder="1" applyAlignment="1" applyProtection="1">
      <alignment horizontal="left" vertical="center" wrapText="1"/>
    </xf>
    <xf numFmtId="0" fontId="2" fillId="2" borderId="15" xfId="0" applyFont="1" applyFill="1" applyBorder="1" applyAlignment="1" applyProtection="1">
      <alignment horizontal="left" vertical="center" wrapText="1"/>
    </xf>
    <xf numFmtId="0" fontId="2" fillId="2" borderId="29" xfId="0" applyFont="1" applyFill="1" applyBorder="1" applyAlignment="1" applyProtection="1">
      <alignment horizontal="left" vertical="center" wrapText="1"/>
    </xf>
    <xf numFmtId="0" fontId="0" fillId="2" borderId="50" xfId="0" applyFill="1" applyBorder="1" applyAlignment="1" applyProtection="1">
      <alignment horizontal="center" wrapText="1"/>
    </xf>
    <xf numFmtId="0" fontId="0" fillId="2" borderId="51" xfId="0" applyFill="1" applyBorder="1" applyAlignment="1" applyProtection="1">
      <alignment horizontal="center" wrapText="1"/>
    </xf>
    <xf numFmtId="0" fontId="0" fillId="2" borderId="49" xfId="0" applyFill="1" applyBorder="1" applyAlignment="1" applyProtection="1">
      <alignment horizontal="center" wrapText="1"/>
    </xf>
    <xf numFmtId="0" fontId="0" fillId="2" borderId="28" xfId="0" applyFill="1" applyBorder="1" applyAlignment="1" applyProtection="1">
      <alignment horizontal="center" wrapText="1"/>
    </xf>
    <xf numFmtId="0" fontId="0" fillId="2" borderId="0" xfId="0" applyFill="1" applyBorder="1" applyAlignment="1" applyProtection="1">
      <alignment horizontal="center" wrapText="1"/>
    </xf>
    <xf numFmtId="0" fontId="0" fillId="2" borderId="17" xfId="0" applyFill="1" applyBorder="1" applyAlignment="1" applyProtection="1">
      <alignment horizontal="center" wrapText="1"/>
    </xf>
    <xf numFmtId="0" fontId="0" fillId="2" borderId="33" xfId="0" applyFill="1" applyBorder="1" applyAlignment="1" applyProtection="1">
      <alignment horizontal="center" wrapText="1"/>
    </xf>
    <xf numFmtId="0" fontId="0" fillId="2" borderId="53" xfId="0" applyFill="1" applyBorder="1" applyAlignment="1" applyProtection="1">
      <alignment horizontal="center" wrapText="1"/>
    </xf>
    <xf numFmtId="0" fontId="0" fillId="2" borderId="48" xfId="0" applyFill="1" applyBorder="1" applyAlignment="1" applyProtection="1">
      <alignment horizontal="center" wrapText="1"/>
    </xf>
    <xf numFmtId="0" fontId="0" fillId="2" borderId="30" xfId="0" applyFill="1" applyBorder="1" applyAlignment="1" applyProtection="1">
      <alignment horizontal="center" wrapText="1"/>
    </xf>
    <xf numFmtId="0" fontId="0" fillId="2" borderId="55" xfId="0" applyFill="1" applyBorder="1" applyAlignment="1" applyProtection="1">
      <alignment horizontal="center" wrapText="1"/>
    </xf>
    <xf numFmtId="0" fontId="0" fillId="2" borderId="56" xfId="0" applyFill="1" applyBorder="1" applyAlignment="1" applyProtection="1">
      <alignment horizontal="center" wrapText="1"/>
    </xf>
    <xf numFmtId="0" fontId="0" fillId="2" borderId="62" xfId="0" applyFill="1" applyBorder="1" applyAlignment="1" applyProtection="1">
      <protection hidden="1"/>
    </xf>
    <xf numFmtId="0" fontId="0" fillId="0" borderId="6" xfId="0" applyBorder="1" applyProtection="1">
      <protection hidden="1"/>
    </xf>
    <xf numFmtId="1" fontId="0" fillId="2" borderId="3" xfId="0" applyNumberFormat="1" applyFill="1" applyBorder="1" applyAlignment="1" applyProtection="1">
      <alignment horizontal="center" vertical="center"/>
      <protection locked="0" hidden="1"/>
    </xf>
    <xf numFmtId="1" fontId="0" fillId="2" borderId="21" xfId="0" applyNumberFormat="1" applyFill="1" applyBorder="1" applyAlignment="1" applyProtection="1">
      <alignment horizontal="center" vertical="center"/>
      <protection locked="0" hidden="1"/>
    </xf>
    <xf numFmtId="0" fontId="0" fillId="2" borderId="63" xfId="0" applyFill="1" applyBorder="1" applyAlignment="1" applyProtection="1">
      <protection hidden="1"/>
    </xf>
    <xf numFmtId="0" fontId="0" fillId="0" borderId="7" xfId="0" applyBorder="1" applyProtection="1">
      <protection hidden="1"/>
    </xf>
    <xf numFmtId="0" fontId="0" fillId="2" borderId="36" xfId="0" applyFill="1" applyBorder="1" applyAlignment="1" applyProtection="1">
      <alignment horizontal="center" wrapText="1"/>
      <protection hidden="1"/>
    </xf>
    <xf numFmtId="0" fontId="0" fillId="2" borderId="40" xfId="0" applyFill="1" applyBorder="1" applyAlignment="1" applyProtection="1">
      <alignment horizontal="center" wrapText="1"/>
      <protection hidden="1"/>
    </xf>
    <xf numFmtId="0" fontId="2" fillId="2" borderId="19" xfId="0" applyNumberFormat="1" applyFont="1" applyFill="1" applyBorder="1" applyAlignment="1" applyProtection="1">
      <alignment horizontal="center" vertical="center"/>
      <protection hidden="1"/>
    </xf>
    <xf numFmtId="0" fontId="2" fillId="0" borderId="26" xfId="0" applyFont="1" applyBorder="1" applyAlignment="1" applyProtection="1">
      <alignment horizontal="center" vertical="center"/>
      <protection hidden="1"/>
    </xf>
    <xf numFmtId="4" fontId="12" fillId="7" borderId="1" xfId="0" applyNumberFormat="1" applyFont="1" applyFill="1" applyBorder="1" applyAlignment="1" applyProtection="1">
      <alignment horizontal="center" vertical="center"/>
      <protection hidden="1"/>
    </xf>
    <xf numFmtId="4" fontId="12" fillId="7" borderId="33" xfId="0" applyNumberFormat="1" applyFont="1" applyFill="1" applyBorder="1" applyAlignment="1" applyProtection="1">
      <alignment horizontal="center" vertical="center"/>
      <protection hidden="1"/>
    </xf>
    <xf numFmtId="0" fontId="2" fillId="2" borderId="64" xfId="0" applyNumberFormat="1" applyFont="1" applyFill="1" applyBorder="1" applyAlignment="1" applyProtection="1">
      <alignment horizontal="center" vertical="center"/>
      <protection hidden="1"/>
    </xf>
    <xf numFmtId="0" fontId="2" fillId="0" borderId="44" xfId="0" applyFont="1" applyBorder="1" applyAlignment="1" applyProtection="1">
      <alignment horizontal="center" vertical="center"/>
      <protection hidden="1"/>
    </xf>
    <xf numFmtId="0" fontId="0" fillId="7" borderId="32" xfId="0" applyFill="1" applyBorder="1" applyAlignment="1" applyProtection="1">
      <alignment horizontal="center" vertical="center"/>
      <protection hidden="1"/>
    </xf>
    <xf numFmtId="0" fontId="0" fillId="7" borderId="29" xfId="0" applyFill="1" applyBorder="1" applyAlignment="1" applyProtection="1">
      <alignment horizontal="center" vertical="center"/>
      <protection hidden="1"/>
    </xf>
    <xf numFmtId="4" fontId="12" fillId="7" borderId="40" xfId="0" applyNumberFormat="1" applyFont="1" applyFill="1" applyBorder="1" applyAlignment="1" applyProtection="1">
      <alignment horizontal="center" vertical="center"/>
      <protection hidden="1"/>
    </xf>
    <xf numFmtId="0" fontId="1" fillId="10" borderId="42" xfId="0" applyFont="1" applyFill="1" applyBorder="1" applyAlignment="1" applyProtection="1">
      <alignment horizontal="left" vertical="top"/>
      <protection locked="0"/>
    </xf>
    <xf numFmtId="0" fontId="1" fillId="10" borderId="21" xfId="0" applyFont="1" applyFill="1" applyBorder="1" applyAlignment="1" applyProtection="1">
      <alignment horizontal="left" vertical="top"/>
      <protection locked="0"/>
    </xf>
    <xf numFmtId="0" fontId="1" fillId="10" borderId="4" xfId="0" applyFont="1" applyFill="1" applyBorder="1" applyAlignment="1" applyProtection="1">
      <alignment horizontal="left" vertical="top"/>
      <protection locked="0"/>
    </xf>
    <xf numFmtId="0" fontId="1" fillId="10" borderId="13" xfId="0" applyFont="1" applyFill="1" applyBorder="1" applyAlignment="1" applyProtection="1">
      <alignment horizontal="left" vertical="top"/>
      <protection locked="0"/>
    </xf>
    <xf numFmtId="0" fontId="1" fillId="10" borderId="10" xfId="0" applyFont="1" applyFill="1" applyBorder="1" applyAlignment="1" applyProtection="1">
      <alignment horizontal="center" vertical="center" wrapText="1"/>
      <protection locked="0" hidden="1"/>
    </xf>
    <xf numFmtId="0" fontId="0" fillId="10" borderId="35" xfId="0" applyFill="1" applyBorder="1" applyAlignment="1" applyProtection="1">
      <alignment horizontal="center" vertical="center"/>
      <protection locked="0" hidden="1"/>
    </xf>
    <xf numFmtId="0" fontId="15" fillId="10" borderId="31" xfId="0" applyFont="1" applyFill="1" applyBorder="1" applyAlignment="1" applyProtection="1">
      <alignment horizontal="left" vertical="center" wrapText="1"/>
      <protection locked="0" hidden="1"/>
    </xf>
    <xf numFmtId="0" fontId="15" fillId="10" borderId="14" xfId="0" applyFont="1" applyFill="1" applyBorder="1" applyAlignment="1" applyProtection="1">
      <alignment horizontal="left" vertical="center" wrapText="1"/>
      <protection locked="0" hidden="1"/>
    </xf>
    <xf numFmtId="0" fontId="15" fillId="10" borderId="41" xfId="0" applyFont="1" applyFill="1" applyBorder="1" applyAlignment="1" applyProtection="1">
      <alignment horizontal="left" vertical="center" wrapText="1"/>
      <protection locked="0" hidden="1"/>
    </xf>
    <xf numFmtId="0" fontId="0" fillId="10" borderId="16" xfId="0" applyFill="1" applyBorder="1" applyAlignment="1" applyProtection="1">
      <alignment wrapText="1"/>
      <protection locked="0" hidden="1"/>
    </xf>
    <xf numFmtId="0" fontId="0" fillId="10" borderId="0" xfId="0" applyFill="1" applyBorder="1" applyAlignment="1" applyProtection="1">
      <alignment wrapText="1"/>
      <protection locked="0" hidden="1"/>
    </xf>
    <xf numFmtId="0" fontId="0" fillId="10" borderId="17" xfId="0" applyFill="1" applyBorder="1" applyAlignment="1" applyProtection="1">
      <alignment wrapText="1"/>
      <protection locked="0" hidden="1"/>
    </xf>
    <xf numFmtId="0" fontId="1" fillId="9" borderId="13" xfId="0" applyFont="1" applyFill="1" applyBorder="1" applyAlignment="1" applyProtection="1">
      <alignment horizontal="left" vertical="center"/>
      <protection locked="0"/>
    </xf>
    <xf numFmtId="3" fontId="1" fillId="9" borderId="51" xfId="0" applyNumberFormat="1" applyFont="1" applyFill="1" applyBorder="1" applyAlignment="1" applyProtection="1">
      <alignment horizontal="left" vertical="center"/>
      <protection locked="0"/>
    </xf>
    <xf numFmtId="3" fontId="1" fillId="9" borderId="49" xfId="0" applyNumberFormat="1" applyFont="1" applyFill="1" applyBorder="1" applyAlignment="1" applyProtection="1">
      <alignment horizontal="left" vertical="center"/>
      <protection locked="0"/>
    </xf>
    <xf numFmtId="3" fontId="1" fillId="9" borderId="47" xfId="0" applyNumberFormat="1" applyFont="1" applyFill="1" applyBorder="1" applyAlignment="1" applyProtection="1">
      <alignment horizontal="left" vertical="top"/>
      <protection locked="0"/>
    </xf>
    <xf numFmtId="3" fontId="1" fillId="9" borderId="46" xfId="0" applyNumberFormat="1" applyFont="1" applyFill="1" applyBorder="1" applyAlignment="1" applyProtection="1">
      <alignment horizontal="left" vertical="top"/>
      <protection locked="0"/>
    </xf>
    <xf numFmtId="3" fontId="1" fillId="2" borderId="22" xfId="0" applyNumberFormat="1" applyFont="1" applyFill="1" applyBorder="1" applyAlignment="1" applyProtection="1">
      <alignment horizontal="left" vertical="center" wrapText="1"/>
    </xf>
    <xf numFmtId="3" fontId="1" fillId="2" borderId="47" xfId="0" applyNumberFormat="1" applyFont="1" applyFill="1" applyBorder="1" applyAlignment="1" applyProtection="1">
      <alignment horizontal="left" vertical="center" wrapText="1"/>
    </xf>
    <xf numFmtId="3" fontId="1" fillId="2" borderId="46" xfId="0" applyNumberFormat="1" applyFont="1" applyFill="1" applyBorder="1" applyAlignment="1" applyProtection="1">
      <alignment horizontal="left" vertical="center" wrapText="1"/>
    </xf>
    <xf numFmtId="0" fontId="1" fillId="10" borderId="5" xfId="0" applyFont="1" applyFill="1" applyBorder="1" applyAlignment="1" applyProtection="1">
      <alignment horizontal="left" vertical="center" wrapText="1"/>
      <protection locked="0"/>
    </xf>
    <xf numFmtId="0" fontId="1" fillId="10" borderId="18" xfId="0" applyFont="1" applyFill="1" applyBorder="1" applyAlignment="1" applyProtection="1">
      <alignment horizontal="left" vertical="center" wrapText="1"/>
      <protection locked="0"/>
    </xf>
    <xf numFmtId="164" fontId="1" fillId="10" borderId="68" xfId="0" applyNumberFormat="1" applyFont="1" applyFill="1" applyBorder="1" applyAlignment="1" applyProtection="1">
      <alignment horizontal="left" vertical="top"/>
      <protection locked="0"/>
    </xf>
    <xf numFmtId="164" fontId="1" fillId="10" borderId="14" xfId="0" applyNumberFormat="1" applyFont="1" applyFill="1" applyBorder="1" applyAlignment="1" applyProtection="1">
      <alignment horizontal="left" vertical="top"/>
      <protection locked="0"/>
    </xf>
    <xf numFmtId="164" fontId="1" fillId="10" borderId="41" xfId="0" applyNumberFormat="1" applyFont="1" applyFill="1" applyBorder="1" applyAlignment="1" applyProtection="1">
      <alignment horizontal="left" vertical="top"/>
      <protection locked="0"/>
    </xf>
    <xf numFmtId="0" fontId="1" fillId="10" borderId="42" xfId="0" applyFont="1" applyFill="1" applyBorder="1" applyAlignment="1" applyProtection="1">
      <alignment horizontal="left" vertical="top" wrapText="1"/>
      <protection locked="0"/>
    </xf>
    <xf numFmtId="0" fontId="1" fillId="10" borderId="21" xfId="0" applyFont="1" applyFill="1" applyBorder="1" applyAlignment="1" applyProtection="1">
      <alignment horizontal="left" vertical="top" wrapText="1"/>
      <protection locked="0"/>
    </xf>
    <xf numFmtId="164" fontId="1" fillId="9" borderId="47" xfId="0" applyNumberFormat="1" applyFont="1" applyFill="1" applyBorder="1" applyAlignment="1" applyProtection="1">
      <alignment horizontal="left" vertical="top"/>
      <protection locked="0"/>
    </xf>
    <xf numFmtId="164" fontId="1" fillId="9" borderId="46" xfId="0" applyNumberFormat="1" applyFont="1" applyFill="1" applyBorder="1" applyAlignment="1" applyProtection="1">
      <alignment horizontal="left" vertical="top"/>
      <protection locked="0"/>
    </xf>
    <xf numFmtId="0" fontId="1" fillId="10" borderId="22" xfId="0" applyFont="1" applyFill="1" applyBorder="1" applyAlignment="1" applyProtection="1">
      <alignment horizontal="left" vertical="top" wrapText="1"/>
      <protection locked="0"/>
    </xf>
    <xf numFmtId="0" fontId="0" fillId="10" borderId="47" xfId="0" applyFill="1" applyBorder="1" applyAlignment="1" applyProtection="1">
      <alignment vertical="top"/>
      <protection locked="0"/>
    </xf>
    <xf numFmtId="0" fontId="0" fillId="10" borderId="46" xfId="0" applyFill="1" applyBorder="1" applyAlignment="1" applyProtection="1">
      <alignment vertical="top"/>
      <protection locked="0"/>
    </xf>
    <xf numFmtId="3" fontId="1" fillId="10" borderId="60" xfId="0" applyNumberFormat="1" applyFont="1" applyFill="1" applyBorder="1" applyAlignment="1" applyProtection="1">
      <alignment horizontal="center" vertical="center"/>
      <protection locked="0" hidden="1"/>
    </xf>
    <xf numFmtId="3" fontId="0" fillId="10" borderId="61" xfId="0" applyNumberFormat="1" applyFill="1" applyBorder="1" applyAlignment="1" applyProtection="1">
      <alignment horizontal="center" vertical="center"/>
      <protection locked="0" hidden="1"/>
    </xf>
    <xf numFmtId="3" fontId="1" fillId="10" borderId="55" xfId="0" applyNumberFormat="1" applyFont="1" applyFill="1" applyBorder="1" applyAlignment="1" applyProtection="1">
      <alignment horizontal="center" vertical="center"/>
      <protection locked="0" hidden="1"/>
    </xf>
    <xf numFmtId="3" fontId="0" fillId="10" borderId="56" xfId="0" applyNumberFormat="1" applyFill="1" applyBorder="1" applyAlignment="1" applyProtection="1">
      <alignment horizontal="center" vertical="center"/>
      <protection locked="0" hidden="1"/>
    </xf>
    <xf numFmtId="0" fontId="1" fillId="10" borderId="50" xfId="0" applyFont="1" applyFill="1" applyBorder="1" applyAlignment="1" applyProtection="1">
      <alignment horizontal="center" vertical="center"/>
      <protection locked="0" hidden="1"/>
    </xf>
    <xf numFmtId="0" fontId="0" fillId="10" borderId="52" xfId="0" applyFill="1" applyBorder="1" applyAlignment="1" applyProtection="1">
      <alignment horizontal="center" vertical="center"/>
      <protection locked="0"/>
    </xf>
    <xf numFmtId="0" fontId="0" fillId="10" borderId="33" xfId="0" applyFill="1" applyBorder="1" applyAlignment="1" applyProtection="1">
      <alignment horizontal="center" vertical="center"/>
      <protection locked="0"/>
    </xf>
    <xf numFmtId="0" fontId="0" fillId="10" borderId="54" xfId="0" applyFill="1" applyBorder="1" applyAlignment="1" applyProtection="1">
      <alignment horizontal="center" vertical="center"/>
      <protection locked="0"/>
    </xf>
    <xf numFmtId="3" fontId="1" fillId="0" borderId="33" xfId="0" applyNumberFormat="1" applyFont="1" applyFill="1" applyBorder="1" applyAlignment="1" applyProtection="1">
      <alignment horizontal="center" vertical="center"/>
      <protection locked="0"/>
    </xf>
    <xf numFmtId="0" fontId="1" fillId="10" borderId="50" xfId="0" applyFont="1" applyFill="1" applyBorder="1" applyAlignment="1" applyProtection="1">
      <alignment horizontal="left" vertical="center"/>
      <protection locked="0"/>
    </xf>
    <xf numFmtId="0" fontId="0" fillId="10" borderId="51" xfId="0" applyFill="1" applyBorder="1" applyAlignment="1" applyProtection="1">
      <alignment horizontal="left" vertical="center"/>
      <protection locked="0"/>
    </xf>
    <xf numFmtId="0" fontId="0" fillId="10" borderId="49" xfId="0" applyFill="1" applyBorder="1" applyAlignment="1" applyProtection="1">
      <alignment horizontal="left" vertical="center"/>
      <protection locked="0"/>
    </xf>
    <xf numFmtId="0" fontId="0" fillId="10" borderId="33" xfId="0" applyFill="1" applyBorder="1" applyAlignment="1" applyProtection="1">
      <alignment horizontal="left" vertical="center"/>
      <protection locked="0"/>
    </xf>
    <xf numFmtId="0" fontId="0" fillId="10" borderId="53" xfId="0" applyFill="1" applyBorder="1" applyAlignment="1" applyProtection="1">
      <alignment horizontal="left" vertical="center"/>
      <protection locked="0"/>
    </xf>
    <xf numFmtId="0" fontId="0" fillId="10" borderId="48" xfId="0" applyFill="1" applyBorder="1" applyAlignment="1" applyProtection="1">
      <alignment horizontal="left" vertical="center"/>
      <protection locked="0"/>
    </xf>
    <xf numFmtId="0" fontId="1" fillId="2" borderId="45" xfId="0" applyFont="1" applyFill="1" applyBorder="1" applyAlignment="1" applyProtection="1">
      <alignment horizontal="left" vertical="center" wrapText="1"/>
      <protection hidden="1"/>
    </xf>
    <xf numFmtId="0" fontId="0" fillId="10" borderId="22" xfId="0" applyFill="1" applyBorder="1" applyAlignment="1" applyProtection="1">
      <alignment horizontal="left" vertical="center"/>
      <protection locked="0"/>
    </xf>
    <xf numFmtId="0" fontId="0" fillId="10" borderId="23" xfId="0" applyFill="1" applyBorder="1" applyAlignment="1" applyProtection="1">
      <alignment horizontal="left" vertical="center"/>
      <protection locked="0"/>
    </xf>
    <xf numFmtId="0" fontId="0" fillId="10" borderId="9" xfId="0" applyFill="1" applyBorder="1" applyAlignment="1" applyProtection="1">
      <protection locked="0"/>
    </xf>
    <xf numFmtId="0" fontId="0" fillId="10" borderId="11" xfId="0" applyFill="1" applyBorder="1" applyAlignment="1"/>
    <xf numFmtId="0" fontId="0" fillId="10" borderId="12" xfId="0" applyFill="1" applyBorder="1" applyAlignment="1"/>
    <xf numFmtId="0" fontId="0" fillId="10" borderId="50" xfId="0" applyFill="1" applyBorder="1" applyAlignment="1" applyProtection="1">
      <alignment horizontal="center"/>
      <protection locked="0"/>
    </xf>
    <xf numFmtId="0" fontId="0" fillId="10" borderId="51" xfId="0" applyFill="1" applyBorder="1" applyAlignment="1" applyProtection="1">
      <alignment horizontal="center"/>
      <protection locked="0"/>
    </xf>
    <xf numFmtId="0" fontId="0" fillId="10" borderId="49" xfId="0" applyFill="1" applyBorder="1" applyAlignment="1" applyProtection="1">
      <alignment horizontal="center"/>
      <protection locked="0"/>
    </xf>
    <xf numFmtId="0" fontId="0" fillId="10" borderId="28" xfId="0" applyFill="1" applyBorder="1" applyAlignment="1" applyProtection="1">
      <alignment horizontal="center"/>
      <protection locked="0"/>
    </xf>
    <xf numFmtId="0" fontId="0" fillId="10" borderId="0" xfId="0" applyFill="1" applyBorder="1" applyAlignment="1" applyProtection="1">
      <alignment horizontal="center"/>
      <protection locked="0"/>
    </xf>
    <xf numFmtId="0" fontId="0" fillId="10" borderId="17" xfId="0" applyFill="1" applyBorder="1" applyAlignment="1" applyProtection="1">
      <alignment horizontal="center"/>
      <protection locked="0"/>
    </xf>
    <xf numFmtId="0" fontId="0" fillId="10" borderId="33" xfId="0" applyFill="1" applyBorder="1" applyAlignment="1" applyProtection="1">
      <alignment horizontal="center"/>
      <protection locked="0"/>
    </xf>
    <xf numFmtId="0" fontId="0" fillId="10" borderId="53" xfId="0" applyFill="1" applyBorder="1" applyAlignment="1" applyProtection="1">
      <alignment horizontal="center"/>
      <protection locked="0"/>
    </xf>
    <xf numFmtId="0" fontId="0" fillId="10" borderId="48" xfId="0" applyFill="1" applyBorder="1" applyAlignment="1" applyProtection="1">
      <alignment horizontal="center"/>
      <protection locked="0"/>
    </xf>
    <xf numFmtId="0" fontId="0" fillId="10" borderId="24" xfId="0" applyFill="1" applyBorder="1" applyAlignment="1">
      <alignment horizontal="center"/>
    </xf>
    <xf numFmtId="0" fontId="0" fillId="10" borderId="15" xfId="0" applyFill="1" applyBorder="1" applyAlignment="1">
      <alignment horizontal="center"/>
    </xf>
    <xf numFmtId="0" fontId="0" fillId="10" borderId="29" xfId="0" applyFill="1" applyBorder="1" applyAlignment="1">
      <alignment horizontal="center"/>
    </xf>
    <xf numFmtId="0" fontId="0" fillId="10" borderId="50" xfId="0" applyFill="1" applyBorder="1" applyAlignment="1" applyProtection="1">
      <alignment horizontal="center" vertical="center" wrapText="1"/>
      <protection locked="0"/>
    </xf>
    <xf numFmtId="0" fontId="0" fillId="10" borderId="51" xfId="0" applyFill="1" applyBorder="1" applyAlignment="1" applyProtection="1">
      <alignment horizontal="center" vertical="center" wrapText="1"/>
      <protection locked="0"/>
    </xf>
    <xf numFmtId="0" fontId="0" fillId="10" borderId="52" xfId="0" applyFill="1" applyBorder="1" applyAlignment="1" applyProtection="1">
      <alignment horizontal="center" vertical="center" wrapText="1"/>
      <protection locked="0"/>
    </xf>
    <xf numFmtId="0" fontId="0" fillId="10" borderId="28" xfId="0" applyFill="1" applyBorder="1" applyAlignment="1" applyProtection="1">
      <alignment horizontal="center" vertical="center" wrapText="1"/>
      <protection locked="0"/>
    </xf>
    <xf numFmtId="0" fontId="0" fillId="10" borderId="0" xfId="0" applyFill="1" applyBorder="1" applyAlignment="1" applyProtection="1">
      <alignment horizontal="center" vertical="center" wrapText="1"/>
      <protection locked="0"/>
    </xf>
    <xf numFmtId="0" fontId="0" fillId="10" borderId="27" xfId="0" applyFill="1" applyBorder="1" applyAlignment="1" applyProtection="1">
      <alignment horizontal="center" vertical="center" wrapText="1"/>
      <protection locked="0"/>
    </xf>
    <xf numFmtId="0" fontId="0" fillId="10" borderId="33" xfId="0" applyFill="1" applyBorder="1" applyAlignment="1" applyProtection="1">
      <alignment horizontal="center" vertical="center" wrapText="1"/>
      <protection locked="0"/>
    </xf>
    <xf numFmtId="0" fontId="0" fillId="10" borderId="53" xfId="0" applyFill="1" applyBorder="1" applyAlignment="1" applyProtection="1">
      <alignment horizontal="center" vertical="center" wrapText="1"/>
      <protection locked="0"/>
    </xf>
    <xf numFmtId="0" fontId="0" fillId="10" borderId="54" xfId="0" applyFill="1" applyBorder="1" applyAlignment="1" applyProtection="1">
      <alignment horizontal="center" vertical="center" wrapText="1"/>
      <protection locked="0"/>
    </xf>
    <xf numFmtId="0" fontId="7" fillId="10" borderId="50" xfId="0" applyFont="1" applyFill="1" applyBorder="1" applyAlignment="1" applyProtection="1">
      <alignment horizontal="left" vertical="center" wrapText="1"/>
      <protection locked="0"/>
    </xf>
    <xf numFmtId="0" fontId="7" fillId="10" borderId="51" xfId="0" applyFont="1" applyFill="1" applyBorder="1" applyAlignment="1" applyProtection="1">
      <alignment horizontal="left" vertical="center" wrapText="1"/>
      <protection locked="0"/>
    </xf>
    <xf numFmtId="0" fontId="7" fillId="10" borderId="52" xfId="0" applyFont="1" applyFill="1" applyBorder="1" applyAlignment="1" applyProtection="1">
      <alignment horizontal="left" vertical="center" wrapText="1"/>
      <protection locked="0"/>
    </xf>
    <xf numFmtId="0" fontId="7" fillId="10" borderId="28" xfId="0" applyFont="1" applyFill="1" applyBorder="1" applyAlignment="1" applyProtection="1">
      <alignment horizontal="left" vertical="center" wrapText="1"/>
      <protection locked="0"/>
    </xf>
    <xf numFmtId="0" fontId="7" fillId="10" borderId="0" xfId="0" applyFont="1" applyFill="1" applyBorder="1" applyAlignment="1" applyProtection="1">
      <alignment horizontal="left" vertical="center" wrapText="1"/>
      <protection locked="0"/>
    </xf>
    <xf numFmtId="0" fontId="7" fillId="10" borderId="27" xfId="0" applyFont="1" applyFill="1" applyBorder="1" applyAlignment="1" applyProtection="1">
      <alignment horizontal="left" vertical="center" wrapText="1"/>
      <protection locked="0"/>
    </xf>
    <xf numFmtId="0" fontId="7" fillId="10" borderId="33" xfId="0" applyFont="1" applyFill="1" applyBorder="1" applyAlignment="1" applyProtection="1">
      <alignment horizontal="left" vertical="center" wrapText="1"/>
      <protection locked="0"/>
    </xf>
    <xf numFmtId="0" fontId="7" fillId="10" borderId="53" xfId="0" applyFont="1" applyFill="1" applyBorder="1" applyAlignment="1" applyProtection="1">
      <alignment horizontal="left" vertical="center" wrapText="1"/>
      <protection locked="0"/>
    </xf>
    <xf numFmtId="0" fontId="7" fillId="10" borderId="54" xfId="0" applyFont="1" applyFill="1" applyBorder="1" applyAlignment="1" applyProtection="1">
      <alignment horizontal="left" vertical="center" wrapText="1"/>
      <protection locked="0"/>
    </xf>
    <xf numFmtId="0" fontId="18" fillId="2" borderId="4" xfId="0" applyFont="1" applyFill="1" applyBorder="1" applyAlignment="1" applyProtection="1">
      <alignment wrapText="1"/>
      <protection hidden="1"/>
    </xf>
    <xf numFmtId="0" fontId="18" fillId="2" borderId="33" xfId="0" applyFont="1" applyFill="1" applyBorder="1" applyAlignment="1" applyProtection="1">
      <alignment wrapText="1"/>
      <protection hidden="1"/>
    </xf>
    <xf numFmtId="0" fontId="18" fillId="2" borderId="53" xfId="0" applyFont="1" applyFill="1" applyBorder="1" applyAlignment="1" applyProtection="1">
      <alignment wrapText="1"/>
      <protection hidden="1"/>
    </xf>
    <xf numFmtId="0" fontId="18" fillId="2" borderId="54" xfId="0" applyFont="1" applyFill="1" applyBorder="1" applyAlignment="1" applyProtection="1">
      <alignment wrapText="1"/>
      <protection hidden="1"/>
    </xf>
    <xf numFmtId="0" fontId="17" fillId="2" borderId="22" xfId="0" applyFont="1" applyFill="1" applyBorder="1" applyAlignment="1" applyProtection="1">
      <alignment horizontal="center" vertical="center" wrapText="1"/>
    </xf>
    <xf numFmtId="0" fontId="0" fillId="0" borderId="47" xfId="0" applyBorder="1" applyAlignment="1" applyProtection="1">
      <alignment horizontal="center" vertical="center" wrapText="1"/>
    </xf>
    <xf numFmtId="0" fontId="0" fillId="0" borderId="23" xfId="0" applyBorder="1" applyAlignment="1" applyProtection="1">
      <alignment horizontal="center" vertical="center" wrapText="1"/>
    </xf>
    <xf numFmtId="0" fontId="23" fillId="2" borderId="0" xfId="0" applyFont="1" applyFill="1" applyBorder="1" applyAlignment="1" applyProtection="1">
      <alignment vertical="top" wrapText="1"/>
      <protection hidden="1"/>
    </xf>
    <xf numFmtId="0" fontId="2" fillId="0" borderId="0" xfId="0" applyFont="1" applyAlignment="1" applyProtection="1">
      <protection hidden="1"/>
    </xf>
    <xf numFmtId="0" fontId="23" fillId="2" borderId="0" xfId="0" applyFont="1" applyFill="1" applyBorder="1" applyAlignment="1" applyProtection="1">
      <alignment horizontal="left" vertical="top" wrapText="1"/>
      <protection hidden="1"/>
    </xf>
    <xf numFmtId="0" fontId="23" fillId="2" borderId="0" xfId="0" applyFont="1" applyFill="1" applyAlignment="1" applyProtection="1">
      <alignment wrapText="1"/>
      <protection hidden="1"/>
    </xf>
    <xf numFmtId="0" fontId="18" fillId="2" borderId="22" xfId="0" applyFont="1" applyFill="1" applyBorder="1" applyAlignment="1" applyProtection="1">
      <alignment wrapText="1"/>
      <protection hidden="1"/>
    </xf>
    <xf numFmtId="0" fontId="18" fillId="2" borderId="47" xfId="0" applyFont="1" applyFill="1" applyBorder="1" applyAlignment="1" applyProtection="1">
      <alignment wrapText="1"/>
      <protection hidden="1"/>
    </xf>
    <xf numFmtId="0" fontId="18" fillId="2" borderId="23" xfId="0" applyFont="1" applyFill="1" applyBorder="1" applyAlignment="1" applyProtection="1">
      <alignment wrapText="1"/>
      <protection hidden="1"/>
    </xf>
    <xf numFmtId="0" fontId="18" fillId="2" borderId="9" xfId="0" applyFont="1" applyFill="1" applyBorder="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18" fillId="2" borderId="50" xfId="0" applyFont="1" applyFill="1" applyBorder="1" applyAlignment="1" applyProtection="1">
      <alignment horizontal="left" vertical="center" wrapText="1"/>
      <protection hidden="1"/>
    </xf>
    <xf numFmtId="0" fontId="0" fillId="0" borderId="51" xfId="0" applyBorder="1" applyAlignment="1" applyProtection="1">
      <alignment horizontal="left" vertical="center" wrapText="1"/>
      <protection hidden="1"/>
    </xf>
    <xf numFmtId="0" fontId="0" fillId="0" borderId="52" xfId="0" applyBorder="1" applyAlignment="1" applyProtection="1">
      <alignment horizontal="left" vertical="center" wrapText="1"/>
      <protection hidden="1"/>
    </xf>
    <xf numFmtId="0" fontId="0" fillId="0" borderId="33" xfId="0" applyBorder="1" applyAlignment="1" applyProtection="1">
      <alignment horizontal="left" vertical="center" wrapText="1"/>
      <protection hidden="1"/>
    </xf>
    <xf numFmtId="0" fontId="0" fillId="0" borderId="53" xfId="0" applyBorder="1" applyAlignment="1" applyProtection="1">
      <alignment horizontal="left" vertical="center" wrapText="1"/>
      <protection hidden="1"/>
    </xf>
    <xf numFmtId="0" fontId="0" fillId="0" borderId="54" xfId="0" applyBorder="1" applyAlignment="1" applyProtection="1">
      <alignment horizontal="left" vertical="center" wrapText="1"/>
      <protection hidden="1"/>
    </xf>
    <xf numFmtId="0" fontId="18" fillId="2" borderId="12" xfId="0" applyFont="1" applyFill="1" applyBorder="1" applyAlignment="1" applyProtection="1">
      <alignment wrapText="1"/>
      <protection hidden="1"/>
    </xf>
  </cellXfs>
  <cellStyles count="4">
    <cellStyle name="Euro" xfId="1"/>
    <cellStyle name="Prozent" xfId="2" builtinId="5"/>
    <cellStyle name="Standard" xfId="0" builtinId="0"/>
    <cellStyle name="Standard_LE15065" xfId="3"/>
  </cellStyles>
  <dxfs count="0"/>
  <tableStyles count="0" defaultTableStyle="TableStyleMedium2" defaultPivotStyle="PivotStyleLight16"/>
  <colors>
    <mruColors>
      <color rgb="FF7AACE2"/>
      <color rgb="FFC5C6C8"/>
      <color rgb="FFB9DEFF"/>
      <color rgb="FFA2A3A5"/>
      <color rgb="FF003361"/>
      <color rgb="FFBDD6F1"/>
      <color rgb="FF006EAB"/>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7" Type="http://schemas.openxmlformats.org/officeDocument/2006/relationships/image" Target="../media/image15.jpeg"/><Relationship Id="rId2" Type="http://schemas.openxmlformats.org/officeDocument/2006/relationships/image" Target="../media/image11.png"/><Relationship Id="rId1" Type="http://schemas.openxmlformats.org/officeDocument/2006/relationships/image" Target="../media/image1.emf"/><Relationship Id="rId6" Type="http://schemas.openxmlformats.org/officeDocument/2006/relationships/image" Target="../media/image14.jpe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jpeg"/></Relationships>
</file>

<file path=xl/drawings/drawing1.xml><?xml version="1.0" encoding="utf-8"?>
<xdr:wsDr xmlns:xdr="http://schemas.openxmlformats.org/drawingml/2006/spreadsheetDrawing" xmlns:a="http://schemas.openxmlformats.org/drawingml/2006/main">
  <xdr:twoCellAnchor>
    <xdr:from>
      <xdr:col>12</xdr:col>
      <xdr:colOff>11207</xdr:colOff>
      <xdr:row>0</xdr:row>
      <xdr:rowOff>39781</xdr:rowOff>
    </xdr:from>
    <xdr:to>
      <xdr:col>13</xdr:col>
      <xdr:colOff>66115</xdr:colOff>
      <xdr:row>3</xdr:row>
      <xdr:rowOff>116383</xdr:rowOff>
    </xdr:to>
    <xdr:pic>
      <xdr:nvPicPr>
        <xdr:cNvPr id="4" name="Grafi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67148" y="39781"/>
          <a:ext cx="816908" cy="625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89648</xdr:colOff>
      <xdr:row>75</xdr:row>
      <xdr:rowOff>67234</xdr:rowOff>
    </xdr:from>
    <xdr:to>
      <xdr:col>13</xdr:col>
      <xdr:colOff>144556</xdr:colOff>
      <xdr:row>79</xdr:row>
      <xdr:rowOff>42983</xdr:rowOff>
    </xdr:to>
    <xdr:pic>
      <xdr:nvPicPr>
        <xdr:cNvPr id="6" name="Grafi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5589" y="18590558"/>
          <a:ext cx="816908" cy="625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476250</xdr:colOff>
      <xdr:row>5</xdr:row>
      <xdr:rowOff>19050</xdr:rowOff>
    </xdr:from>
    <xdr:to>
      <xdr:col>9</xdr:col>
      <xdr:colOff>19050</xdr:colOff>
      <xdr:row>42</xdr:row>
      <xdr:rowOff>184486</xdr:rowOff>
    </xdr:to>
    <xdr:pic>
      <xdr:nvPicPr>
        <xdr:cNvPr id="2" name="Grafik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 y="1123950"/>
          <a:ext cx="5638800" cy="7213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142874</xdr:colOff>
      <xdr:row>51</xdr:row>
      <xdr:rowOff>76200</xdr:rowOff>
    </xdr:from>
    <xdr:to>
      <xdr:col>4</xdr:col>
      <xdr:colOff>757001</xdr:colOff>
      <xdr:row>78</xdr:row>
      <xdr:rowOff>76200</xdr:rowOff>
    </xdr:to>
    <xdr:pic>
      <xdr:nvPicPr>
        <xdr:cNvPr id="3" name="Grafik 2"/>
        <xdr:cNvPicPr>
          <a:picLocks noChangeAspect="1"/>
        </xdr:cNvPicPr>
      </xdr:nvPicPr>
      <xdr:blipFill>
        <a:blip xmlns:r="http://schemas.openxmlformats.org/officeDocument/2006/relationships" r:embed="rId2"/>
        <a:stretch>
          <a:fillRect/>
        </a:stretch>
      </xdr:blipFill>
      <xdr:spPr>
        <a:xfrm>
          <a:off x="142874" y="9772650"/>
          <a:ext cx="2900127" cy="5143500"/>
        </a:xfrm>
        <a:prstGeom prst="rect">
          <a:avLst/>
        </a:prstGeom>
      </xdr:spPr>
    </xdr:pic>
    <xdr:clientData/>
  </xdr:twoCellAnchor>
  <xdr:twoCellAnchor editAs="oneCell">
    <xdr:from>
      <xdr:col>6</xdr:col>
      <xdr:colOff>104775</xdr:colOff>
      <xdr:row>51</xdr:row>
      <xdr:rowOff>142874</xdr:rowOff>
    </xdr:from>
    <xdr:to>
      <xdr:col>9</xdr:col>
      <xdr:colOff>600075</xdr:colOff>
      <xdr:row>60</xdr:row>
      <xdr:rowOff>78815</xdr:rowOff>
    </xdr:to>
    <xdr:pic>
      <xdr:nvPicPr>
        <xdr:cNvPr id="4" name="Grafik 3"/>
        <xdr:cNvPicPr>
          <a:picLocks noChangeAspect="1"/>
        </xdr:cNvPicPr>
      </xdr:nvPicPr>
      <xdr:blipFill>
        <a:blip xmlns:r="http://schemas.openxmlformats.org/officeDocument/2006/relationships" r:embed="rId3"/>
        <a:stretch>
          <a:fillRect/>
        </a:stretch>
      </xdr:blipFill>
      <xdr:spPr>
        <a:xfrm>
          <a:off x="3914775" y="9839324"/>
          <a:ext cx="2781300" cy="1650441"/>
        </a:xfrm>
        <a:prstGeom prst="rect">
          <a:avLst/>
        </a:prstGeom>
      </xdr:spPr>
    </xdr:pic>
    <xdr:clientData/>
  </xdr:twoCellAnchor>
  <xdr:twoCellAnchor editAs="oneCell">
    <xdr:from>
      <xdr:col>1</xdr:col>
      <xdr:colOff>0</xdr:colOff>
      <xdr:row>82</xdr:row>
      <xdr:rowOff>190499</xdr:rowOff>
    </xdr:from>
    <xdr:to>
      <xdr:col>11</xdr:col>
      <xdr:colOff>625506</xdr:colOff>
      <xdr:row>98</xdr:row>
      <xdr:rowOff>104774</xdr:rowOff>
    </xdr:to>
    <xdr:pic>
      <xdr:nvPicPr>
        <xdr:cNvPr id="5" name="Grafik 4"/>
        <xdr:cNvPicPr>
          <a:picLocks noChangeAspect="1"/>
        </xdr:cNvPicPr>
      </xdr:nvPicPr>
      <xdr:blipFill>
        <a:blip xmlns:r="http://schemas.openxmlformats.org/officeDocument/2006/relationships" r:embed="rId4"/>
        <a:stretch>
          <a:fillRect/>
        </a:stretch>
      </xdr:blipFill>
      <xdr:spPr>
        <a:xfrm>
          <a:off x="0" y="15801974"/>
          <a:ext cx="8245506" cy="2962275"/>
        </a:xfrm>
        <a:prstGeom prst="rect">
          <a:avLst/>
        </a:prstGeom>
      </xdr:spPr>
    </xdr:pic>
    <xdr:clientData/>
  </xdr:twoCellAnchor>
  <xdr:twoCellAnchor editAs="oneCell">
    <xdr:from>
      <xdr:col>0</xdr:col>
      <xdr:colOff>323850</xdr:colOff>
      <xdr:row>153</xdr:row>
      <xdr:rowOff>57150</xdr:rowOff>
    </xdr:from>
    <xdr:to>
      <xdr:col>16</xdr:col>
      <xdr:colOff>71559</xdr:colOff>
      <xdr:row>160</xdr:row>
      <xdr:rowOff>19050</xdr:rowOff>
    </xdr:to>
    <xdr:pic>
      <xdr:nvPicPr>
        <xdr:cNvPr id="8" name="Grafik 7"/>
        <xdr:cNvPicPr>
          <a:picLocks noChangeAspect="1"/>
        </xdr:cNvPicPr>
      </xdr:nvPicPr>
      <xdr:blipFill>
        <a:blip xmlns:r="http://schemas.openxmlformats.org/officeDocument/2006/relationships" r:embed="rId5"/>
        <a:stretch>
          <a:fillRect/>
        </a:stretch>
      </xdr:blipFill>
      <xdr:spPr>
        <a:xfrm>
          <a:off x="323850" y="29632275"/>
          <a:ext cx="11530134" cy="1295400"/>
        </a:xfrm>
        <a:prstGeom prst="rect">
          <a:avLst/>
        </a:prstGeom>
      </xdr:spPr>
    </xdr:pic>
    <xdr:clientData/>
  </xdr:twoCellAnchor>
  <xdr:twoCellAnchor editAs="oneCell">
    <xdr:from>
      <xdr:col>1</xdr:col>
      <xdr:colOff>0</xdr:colOff>
      <xdr:row>163</xdr:row>
      <xdr:rowOff>0</xdr:rowOff>
    </xdr:from>
    <xdr:to>
      <xdr:col>5</xdr:col>
      <xdr:colOff>285749</xdr:colOff>
      <xdr:row>169</xdr:row>
      <xdr:rowOff>190500</xdr:rowOff>
    </xdr:to>
    <xdr:pic>
      <xdr:nvPicPr>
        <xdr:cNvPr id="9" name="Grafik 8"/>
        <xdr:cNvPicPr>
          <a:picLocks noChangeAspect="1"/>
        </xdr:cNvPicPr>
      </xdr:nvPicPr>
      <xdr:blipFill>
        <a:blip xmlns:r="http://schemas.openxmlformats.org/officeDocument/2006/relationships" r:embed="rId6"/>
        <a:stretch>
          <a:fillRect/>
        </a:stretch>
      </xdr:blipFill>
      <xdr:spPr>
        <a:xfrm>
          <a:off x="0" y="30918150"/>
          <a:ext cx="3333749" cy="1333500"/>
        </a:xfrm>
        <a:prstGeom prst="rect">
          <a:avLst/>
        </a:prstGeom>
      </xdr:spPr>
    </xdr:pic>
    <xdr:clientData/>
  </xdr:twoCellAnchor>
  <xdr:twoCellAnchor editAs="oneCell">
    <xdr:from>
      <xdr:col>1</xdr:col>
      <xdr:colOff>19050</xdr:colOff>
      <xdr:row>171</xdr:row>
      <xdr:rowOff>38100</xdr:rowOff>
    </xdr:from>
    <xdr:to>
      <xdr:col>9</xdr:col>
      <xdr:colOff>464906</xdr:colOff>
      <xdr:row>183</xdr:row>
      <xdr:rowOff>123825</xdr:rowOff>
    </xdr:to>
    <xdr:pic>
      <xdr:nvPicPr>
        <xdr:cNvPr id="10" name="Grafik 9"/>
        <xdr:cNvPicPr>
          <a:picLocks noChangeAspect="1"/>
        </xdr:cNvPicPr>
      </xdr:nvPicPr>
      <xdr:blipFill>
        <a:blip xmlns:r="http://schemas.openxmlformats.org/officeDocument/2006/relationships" r:embed="rId7"/>
        <a:stretch>
          <a:fillRect/>
        </a:stretch>
      </xdr:blipFill>
      <xdr:spPr>
        <a:xfrm>
          <a:off x="371475" y="33070800"/>
          <a:ext cx="6541856" cy="2371725"/>
        </a:xfrm>
        <a:prstGeom prst="rect">
          <a:avLst/>
        </a:prstGeom>
      </xdr:spPr>
    </xdr:pic>
    <xdr:clientData/>
  </xdr:twoCellAnchor>
  <xdr:twoCellAnchor editAs="oneCell">
    <xdr:from>
      <xdr:col>0</xdr:col>
      <xdr:colOff>200025</xdr:colOff>
      <xdr:row>104</xdr:row>
      <xdr:rowOff>95250</xdr:rowOff>
    </xdr:from>
    <xdr:to>
      <xdr:col>17</xdr:col>
      <xdr:colOff>501026</xdr:colOff>
      <xdr:row>116</xdr:row>
      <xdr:rowOff>104775</xdr:rowOff>
    </xdr:to>
    <xdr:pic>
      <xdr:nvPicPr>
        <xdr:cNvPr id="12" name="Grafik 11"/>
        <xdr:cNvPicPr>
          <a:picLocks noChangeAspect="1"/>
        </xdr:cNvPicPr>
      </xdr:nvPicPr>
      <xdr:blipFill>
        <a:blip xmlns:r="http://schemas.openxmlformats.org/officeDocument/2006/relationships" r:embed="rId8"/>
        <a:stretch>
          <a:fillRect/>
        </a:stretch>
      </xdr:blipFill>
      <xdr:spPr>
        <a:xfrm>
          <a:off x="200025" y="20116800"/>
          <a:ext cx="12845426" cy="2295525"/>
        </a:xfrm>
        <a:prstGeom prst="rect">
          <a:avLst/>
        </a:prstGeom>
      </xdr:spPr>
    </xdr:pic>
    <xdr:clientData/>
  </xdr:twoCellAnchor>
  <xdr:twoCellAnchor editAs="oneCell">
    <xdr:from>
      <xdr:col>0</xdr:col>
      <xdr:colOff>0</xdr:colOff>
      <xdr:row>129</xdr:row>
      <xdr:rowOff>66675</xdr:rowOff>
    </xdr:from>
    <xdr:to>
      <xdr:col>17</xdr:col>
      <xdr:colOff>542925</xdr:colOff>
      <xdr:row>138</xdr:row>
      <xdr:rowOff>165193</xdr:rowOff>
    </xdr:to>
    <xdr:pic>
      <xdr:nvPicPr>
        <xdr:cNvPr id="13" name="Grafik 12"/>
        <xdr:cNvPicPr>
          <a:picLocks noChangeAspect="1"/>
        </xdr:cNvPicPr>
      </xdr:nvPicPr>
      <xdr:blipFill>
        <a:blip xmlns:r="http://schemas.openxmlformats.org/officeDocument/2006/relationships" r:embed="rId9"/>
        <a:stretch>
          <a:fillRect/>
        </a:stretch>
      </xdr:blipFill>
      <xdr:spPr>
        <a:xfrm>
          <a:off x="0" y="24955500"/>
          <a:ext cx="13087350" cy="18130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11207</xdr:colOff>
      <xdr:row>0</xdr:row>
      <xdr:rowOff>39781</xdr:rowOff>
    </xdr:from>
    <xdr:to>
      <xdr:col>13</xdr:col>
      <xdr:colOff>66115</xdr:colOff>
      <xdr:row>3</xdr:row>
      <xdr:rowOff>116383</xdr:rowOff>
    </xdr:to>
    <xdr:pic>
      <xdr:nvPicPr>
        <xdr:cNvPr id="2" name="Grafi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64907" y="39781"/>
          <a:ext cx="816908" cy="629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89648</xdr:colOff>
      <xdr:row>75</xdr:row>
      <xdr:rowOff>67234</xdr:rowOff>
    </xdr:from>
    <xdr:to>
      <xdr:col>13</xdr:col>
      <xdr:colOff>144556</xdr:colOff>
      <xdr:row>79</xdr:row>
      <xdr:rowOff>42983</xdr:rowOff>
    </xdr:to>
    <xdr:pic>
      <xdr:nvPicPr>
        <xdr:cNvPr id="3" name="Grafi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3348" y="18564784"/>
          <a:ext cx="816908" cy="632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560294</xdr:colOff>
      <xdr:row>88</xdr:row>
      <xdr:rowOff>145677</xdr:rowOff>
    </xdr:from>
    <xdr:to>
      <xdr:col>4</xdr:col>
      <xdr:colOff>302559</xdr:colOff>
      <xdr:row>104</xdr:row>
      <xdr:rowOff>120574</xdr:rowOff>
    </xdr:to>
    <xdr:pic>
      <xdr:nvPicPr>
        <xdr:cNvPr id="4" name="Picture 390"/>
        <xdr:cNvPicPr>
          <a:picLocks noChangeAspect="1" noChangeArrowheads="1"/>
        </xdr:cNvPicPr>
      </xdr:nvPicPr>
      <xdr:blipFill>
        <a:blip xmlns:r="http://schemas.openxmlformats.org/officeDocument/2006/relationships" r:embed="rId2">
          <a:extLst>
            <a:ext uri="{BEBA8EAE-BF5A-486C-A8C5-ECC9F3942E4B}">
              <a14:imgProps xmlns:a14="http://schemas.microsoft.com/office/drawing/2010/main">
                <a14:imgLayer r:embed="rId3">
                  <a14:imgEffect>
                    <a14:backgroundRemoval t="9896" b="95833" l="0" r="100000"/>
                  </a14:imgEffect>
                </a14:imgLayer>
              </a14:imgProps>
            </a:ext>
            <a:ext uri="{28A0092B-C50C-407E-A947-70E740481C1C}">
              <a14:useLocalDpi xmlns:a14="http://schemas.microsoft.com/office/drawing/2010/main" val="0"/>
            </a:ext>
          </a:extLst>
        </a:blip>
        <a:srcRect/>
        <a:stretch>
          <a:fillRect/>
        </a:stretch>
      </xdr:blipFill>
      <xdr:spPr bwMode="auto">
        <a:xfrm>
          <a:off x="649941" y="20786912"/>
          <a:ext cx="3238500" cy="256345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78441</xdr:colOff>
      <xdr:row>108</xdr:row>
      <xdr:rowOff>89647</xdr:rowOff>
    </xdr:from>
    <xdr:to>
      <xdr:col>4</xdr:col>
      <xdr:colOff>830356</xdr:colOff>
      <xdr:row>125</xdr:row>
      <xdr:rowOff>146237</xdr:rowOff>
    </xdr:to>
    <xdr:pic>
      <xdr:nvPicPr>
        <xdr:cNvPr id="5" name="Picture 43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088" y="23946971"/>
          <a:ext cx="4248150" cy="27908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89647</xdr:colOff>
      <xdr:row>129</xdr:row>
      <xdr:rowOff>100853</xdr:rowOff>
    </xdr:from>
    <xdr:to>
      <xdr:col>4</xdr:col>
      <xdr:colOff>822512</xdr:colOff>
      <xdr:row>144</xdr:row>
      <xdr:rowOff>138393</xdr:rowOff>
    </xdr:to>
    <xdr:pic>
      <xdr:nvPicPr>
        <xdr:cNvPr id="6" name="Picture 39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9294" y="27387177"/>
          <a:ext cx="4229100" cy="23907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302559</xdr:colOff>
      <xdr:row>148</xdr:row>
      <xdr:rowOff>67235</xdr:rowOff>
    </xdr:from>
    <xdr:to>
      <xdr:col>4</xdr:col>
      <xdr:colOff>593912</xdr:colOff>
      <xdr:row>165</xdr:row>
      <xdr:rowOff>84360</xdr:rowOff>
    </xdr:to>
    <xdr:pic>
      <xdr:nvPicPr>
        <xdr:cNvPr id="7" name="Picture 282" descr="Versand_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92206" y="30334323"/>
          <a:ext cx="3787588" cy="2751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1064559</xdr:colOff>
      <xdr:row>168</xdr:row>
      <xdr:rowOff>78441</xdr:rowOff>
    </xdr:from>
    <xdr:to>
      <xdr:col>3</xdr:col>
      <xdr:colOff>691403</xdr:colOff>
      <xdr:row>185</xdr:row>
      <xdr:rowOff>116541</xdr:rowOff>
    </xdr:to>
    <xdr:pic>
      <xdr:nvPicPr>
        <xdr:cNvPr id="8" name="Grafik 8"/>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54206" y="33550412"/>
          <a:ext cx="2305050" cy="270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190500</xdr:colOff>
      <xdr:row>0</xdr:row>
      <xdr:rowOff>28575</xdr:rowOff>
    </xdr:from>
    <xdr:to>
      <xdr:col>15</xdr:col>
      <xdr:colOff>0</xdr:colOff>
      <xdr:row>3</xdr:row>
      <xdr:rowOff>95250</xdr:rowOff>
    </xdr:to>
    <xdr:pic>
      <xdr:nvPicPr>
        <xdr:cNvPr id="3114" name="Picture 24" descr="090930_TK_3d_5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96200" y="28575"/>
          <a:ext cx="18478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S-01044%20V.5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lBilder"/>
      <sheetName val="FS-01044"/>
      <sheetName val="Info"/>
      <sheetName val="Language settings"/>
    </sheetNames>
    <sheetDataSet>
      <sheetData sheetId="0" refreshError="1"/>
      <sheetData sheetId="1">
        <row r="105">
          <cell r="D105" t="str">
            <v>EUR</v>
          </cell>
        </row>
        <row r="106">
          <cell r="D106" t="str">
            <v>CHF</v>
          </cell>
        </row>
        <row r="107">
          <cell r="D107" t="str">
            <v>USD</v>
          </cell>
        </row>
        <row r="108">
          <cell r="D108" t="str">
            <v>RMB</v>
          </cell>
        </row>
        <row r="109">
          <cell r="D109" t="str">
            <v>BRL</v>
          </cell>
        </row>
      </sheetData>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BH288"/>
  <sheetViews>
    <sheetView tabSelected="1" zoomScale="85" zoomScaleNormal="85" zoomScaleSheetLayoutView="75" workbookViewId="0">
      <selection activeCell="B1" sqref="B1"/>
    </sheetView>
  </sheetViews>
  <sheetFormatPr baseColWidth="10" defaultRowHeight="12.75" x14ac:dyDescent="0.2"/>
  <cols>
    <col min="1" max="1" width="1.28515625" style="8" customWidth="1"/>
    <col min="2" max="2" width="29.5703125" style="8" customWidth="1"/>
    <col min="3" max="3" width="10.5703125" style="8" customWidth="1"/>
    <col min="4" max="4" width="12.28515625" style="8" customWidth="1"/>
    <col min="5" max="5" width="14" style="8" customWidth="1"/>
    <col min="6" max="6" width="7.85546875" style="8" customWidth="1"/>
    <col min="7" max="8" width="7.7109375" style="8" customWidth="1"/>
    <col min="9" max="9" width="24.140625" style="8" customWidth="1"/>
    <col min="10" max="10" width="14.140625" style="8" customWidth="1"/>
    <col min="11" max="11" width="15.85546875" style="8" customWidth="1"/>
    <col min="12" max="12" width="13.140625" style="8" customWidth="1"/>
    <col min="13" max="13" width="11.42578125" style="8"/>
    <col min="14" max="14" width="12.28515625" style="8" customWidth="1"/>
    <col min="15" max="15" width="7.28515625" style="8" customWidth="1"/>
    <col min="16" max="16" width="11.85546875" style="8" customWidth="1"/>
    <col min="17" max="17" width="17.7109375" style="8" customWidth="1"/>
    <col min="18" max="20" width="11.85546875" style="8" customWidth="1"/>
    <col min="21" max="21" width="13.7109375" style="8" customWidth="1"/>
    <col min="22" max="28" width="11.85546875" style="8" customWidth="1"/>
    <col min="29" max="29" width="5.7109375" style="8" customWidth="1"/>
    <col min="30" max="30" width="11.85546875" style="8" customWidth="1"/>
    <col min="31" max="31" width="5.7109375" style="8" customWidth="1"/>
    <col min="32" max="32" width="7.85546875" style="8" customWidth="1"/>
    <col min="33" max="38" width="11.42578125" style="8" customWidth="1"/>
    <col min="39" max="39" width="15" style="8" customWidth="1"/>
    <col min="40" max="48" width="11.42578125" style="8" customWidth="1"/>
    <col min="49" max="59" width="11.42578125" style="8"/>
    <col min="60" max="60" width="18.5703125" style="8" hidden="1" customWidth="1"/>
    <col min="61" max="63" width="0" style="8" hidden="1" customWidth="1"/>
    <col min="64" max="16384" width="11.42578125" style="8"/>
  </cols>
  <sheetData>
    <row r="1" spans="2:51" ht="13.5" thickBot="1" x14ac:dyDescent="0.25">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row>
    <row r="2" spans="2:51" ht="13.5" thickBot="1" x14ac:dyDescent="0.25">
      <c r="J2" s="143"/>
      <c r="K2" s="52" t="str">
        <f>IF($K$5="Deutsch","muss ausgefüllt werden",IF($K$5="English","needs to be filled out",IF($K$5="Français","champ à renseigner",IF($K$5="Portugues","Preencher",IF($K$5="中文","蓝色框需要填写",IF($K$5="हिन्दी","पूरा होना चाहिए"))))))</f>
        <v>needs to be filled out</v>
      </c>
      <c r="O2" s="153"/>
      <c r="P2" s="153"/>
      <c r="Q2" s="153"/>
      <c r="R2" s="153"/>
      <c r="S2" s="153"/>
      <c r="T2" s="160"/>
      <c r="U2" s="153"/>
      <c r="V2" s="153"/>
      <c r="W2" s="161"/>
      <c r="X2" s="161"/>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row>
    <row r="3" spans="2:51" ht="16.5" thickBot="1" x14ac:dyDescent="0.3">
      <c r="B3" s="51" t="s">
        <v>46</v>
      </c>
      <c r="J3" s="48"/>
      <c r="K3" s="52" t="str">
        <f>IF($K$5="Deutsch","muss ausgewählt werden",IF($K$5="English","needs to be selected",IF($K$5="Français","champ à sélectionner",IF($K$5="Portugues","Selecionar",IF($K$5="中文","白色框需要选择",IF($K$5="हिन्दी","चयनित होना चाहिए"))))))</f>
        <v>needs to be selected</v>
      </c>
      <c r="O3" s="153"/>
      <c r="P3" s="153"/>
      <c r="Q3" s="153"/>
      <c r="R3" s="153"/>
      <c r="S3" s="153"/>
      <c r="T3" s="160" t="s">
        <v>29</v>
      </c>
      <c r="U3" s="153" t="s">
        <v>31</v>
      </c>
      <c r="V3" s="153" t="s">
        <v>33</v>
      </c>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row>
    <row r="4" spans="2:51" ht="13.5" thickBot="1" x14ac:dyDescent="0.25">
      <c r="O4" s="153"/>
      <c r="P4" s="153"/>
      <c r="Q4" s="153"/>
      <c r="R4" s="153"/>
      <c r="S4" s="153"/>
      <c r="T4" s="160" t="s">
        <v>30</v>
      </c>
      <c r="U4" s="153" t="s">
        <v>32</v>
      </c>
      <c r="V4" s="153" t="s">
        <v>34</v>
      </c>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row>
    <row r="5" spans="2:51" ht="13.5" customHeight="1" thickBot="1" x14ac:dyDescent="0.25">
      <c r="K5" s="326" t="s">
        <v>30</v>
      </c>
      <c r="L5" s="355" t="s">
        <v>50</v>
      </c>
      <c r="M5" s="356"/>
      <c r="N5" s="356"/>
      <c r="O5" s="153"/>
      <c r="P5" s="153"/>
      <c r="Q5" s="153"/>
      <c r="R5" s="153"/>
      <c r="S5" s="153"/>
      <c r="T5" s="160" t="s">
        <v>42</v>
      </c>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row>
    <row r="6" spans="2:51" ht="13.5" thickBot="1" x14ac:dyDescent="0.25">
      <c r="B6" s="328"/>
      <c r="C6" s="329"/>
      <c r="D6" s="329"/>
      <c r="E6" s="330"/>
      <c r="F6" s="334" t="str">
        <f>IF($K$5="Deutsch","Bitte wählen Sie den Produktionsstandort aus",IF($K$5="English","Please select the production site",IF($K$5="Français","Veuillez sélectionner le site de production",IF($K$5="Portugues","Por favor, selecione a ärea de produção",IF($K$5="中文","请选择生产厂",IF($K$5="हिन्दी","उत्पादन स्थल से चुनें"))))))</f>
        <v>Please select the production site</v>
      </c>
      <c r="G6" s="335"/>
      <c r="H6" s="336"/>
      <c r="I6" s="50"/>
      <c r="J6" s="50"/>
      <c r="K6" s="327"/>
      <c r="L6" s="356"/>
      <c r="M6" s="356"/>
      <c r="N6" s="356"/>
      <c r="O6" s="153"/>
      <c r="P6" s="153"/>
      <c r="Q6" s="153"/>
      <c r="R6" s="153"/>
      <c r="S6" s="153"/>
      <c r="T6" s="153" t="s">
        <v>44</v>
      </c>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row>
    <row r="7" spans="2:51" ht="24.75" customHeight="1" thickBot="1" x14ac:dyDescent="0.25">
      <c r="B7" s="331"/>
      <c r="C7" s="332"/>
      <c r="D7" s="332"/>
      <c r="E7" s="333"/>
      <c r="F7" s="336"/>
      <c r="G7" s="336"/>
      <c r="H7" s="336"/>
      <c r="I7" s="50"/>
      <c r="J7" s="50"/>
      <c r="L7" s="357"/>
      <c r="M7" s="357"/>
      <c r="N7" s="357"/>
      <c r="O7" s="153"/>
      <c r="P7" s="153"/>
      <c r="Q7" s="153"/>
      <c r="R7" s="153"/>
      <c r="S7" s="153"/>
      <c r="T7" s="160" t="s">
        <v>43</v>
      </c>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row>
    <row r="8" spans="2:51" ht="26.25" customHeight="1" x14ac:dyDescent="0.2">
      <c r="B8" s="346" t="str">
        <f>IF($K$5="Deutsch","Verpackungsdatenblatt (VDB)",IF($K$5="English","Packaging Data Sheet (PDS)",IF($K$5="Français","Fiche de données d'emballage (FDD)",IF($K$5="Portugues","Folha de Instrução de Embalagem (FIE)",IF($K$5="中文","包装数据表",IF($K$5="हिन्दी","पैकेजिंग डाटा शीट"))))))</f>
        <v>Packaging Data Sheet (PDS)</v>
      </c>
      <c r="C8" s="347"/>
      <c r="D8" s="347"/>
      <c r="E8" s="347"/>
      <c r="F8" s="347"/>
      <c r="G8" s="347"/>
      <c r="H8" s="347"/>
      <c r="I8" s="347"/>
      <c r="J8" s="347"/>
      <c r="K8" s="347"/>
      <c r="L8" s="347"/>
      <c r="M8" s="347"/>
      <c r="N8" s="348"/>
      <c r="O8" s="153"/>
      <c r="P8" s="153"/>
      <c r="Q8" s="153"/>
      <c r="R8" s="153"/>
      <c r="S8" s="153"/>
      <c r="T8" s="162" t="s">
        <v>51</v>
      </c>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row>
    <row r="9" spans="2:51" s="10" customFormat="1" ht="12" customHeight="1" thickBot="1" x14ac:dyDescent="0.25">
      <c r="B9" s="349"/>
      <c r="C9" s="350"/>
      <c r="D9" s="350"/>
      <c r="E9" s="350"/>
      <c r="F9" s="350"/>
      <c r="G9" s="350"/>
      <c r="H9" s="350"/>
      <c r="I9" s="350"/>
      <c r="J9" s="350"/>
      <c r="K9" s="350"/>
      <c r="L9" s="350"/>
      <c r="M9" s="350"/>
      <c r="N9" s="351"/>
      <c r="O9" s="153"/>
      <c r="P9" s="152"/>
      <c r="Q9" s="152"/>
      <c r="R9" s="152"/>
      <c r="S9" s="152"/>
      <c r="T9" s="152"/>
      <c r="U9" s="153"/>
      <c r="V9" s="152"/>
      <c r="W9" s="152"/>
      <c r="X9" s="153"/>
      <c r="Y9" s="153"/>
      <c r="Z9" s="153"/>
      <c r="AA9" s="153"/>
      <c r="AB9" s="153"/>
      <c r="AC9" s="153"/>
      <c r="AD9" s="153"/>
      <c r="AE9" s="153"/>
      <c r="AF9" s="153"/>
      <c r="AG9" s="153"/>
      <c r="AH9" s="153"/>
      <c r="AI9" s="152"/>
      <c r="AJ9" s="152"/>
      <c r="AK9" s="152"/>
      <c r="AL9" s="152"/>
      <c r="AM9" s="152"/>
      <c r="AN9" s="152"/>
      <c r="AO9" s="152"/>
      <c r="AP9" s="152"/>
      <c r="AQ9" s="152"/>
      <c r="AR9" s="152"/>
      <c r="AS9" s="152"/>
      <c r="AT9" s="152"/>
      <c r="AU9" s="152"/>
      <c r="AV9" s="152"/>
      <c r="AW9" s="152"/>
      <c r="AX9" s="152"/>
      <c r="AY9" s="152"/>
    </row>
    <row r="10" spans="2:51" ht="27" customHeight="1" thickBot="1" x14ac:dyDescent="0.3">
      <c r="B10" s="352" t="str">
        <f>IF($K$5="Deutsch","Lieferant/Kunde",IF($K$5="English","Supplier/Customer",IF($K$5="Français","Client/Client",IF($K$5="Portugues","Fornecedor/Cliente",IF($K$5="中文","供应商/客户",IF($K$5="हिन्दी","प्रदायक/ग्राहक"))))))</f>
        <v>Supplier/Customer</v>
      </c>
      <c r="C10" s="353"/>
      <c r="D10" s="353"/>
      <c r="E10" s="353"/>
      <c r="F10" s="353"/>
      <c r="G10" s="353"/>
      <c r="H10" s="354"/>
      <c r="I10" s="339" t="s">
        <v>46</v>
      </c>
      <c r="J10" s="339"/>
      <c r="K10" s="339"/>
      <c r="L10" s="339"/>
      <c r="M10" s="339"/>
      <c r="N10" s="340"/>
      <c r="O10" s="152"/>
      <c r="P10" s="153"/>
      <c r="Q10" s="153"/>
      <c r="R10" s="153"/>
      <c r="S10" s="153"/>
      <c r="T10" s="152" t="s">
        <v>0</v>
      </c>
      <c r="U10" s="155"/>
      <c r="V10" s="152"/>
      <c r="W10" s="152"/>
      <c r="X10" s="152"/>
      <c r="Y10" s="152"/>
      <c r="Z10" s="157" t="s">
        <v>6</v>
      </c>
      <c r="AA10" s="158">
        <v>240</v>
      </c>
      <c r="AB10" s="159">
        <v>0.03</v>
      </c>
      <c r="AC10" s="158">
        <v>20</v>
      </c>
      <c r="AD10" s="152"/>
      <c r="AE10" s="152"/>
      <c r="AF10" s="152"/>
      <c r="AG10" s="152"/>
      <c r="AH10" s="153"/>
      <c r="AI10" s="153"/>
      <c r="AJ10" s="153"/>
      <c r="AK10" s="153"/>
      <c r="AL10" s="153"/>
      <c r="AM10" s="153"/>
      <c r="AN10" s="153"/>
      <c r="AO10" s="153"/>
      <c r="AP10" s="153"/>
      <c r="AQ10" s="153"/>
      <c r="AR10" s="153"/>
      <c r="AS10" s="153"/>
      <c r="AT10" s="153"/>
      <c r="AU10" s="153"/>
      <c r="AV10" s="153"/>
      <c r="AW10" s="153"/>
      <c r="AX10" s="153"/>
      <c r="AY10" s="153"/>
    </row>
    <row r="11" spans="2:51" ht="15" customHeight="1" x14ac:dyDescent="0.25">
      <c r="B11" s="3" t="str">
        <f>IF($K$5="Deutsch","Firma:",IF($K$5="English","Company:",IF($K$5="Français","Société:",IF($K$5="Portugues","Firma:",IF($K$5="中文","供应商：",IF($K$5="हिन्दी","कम्पनी:"))))))</f>
        <v>Company:</v>
      </c>
      <c r="C11" s="341"/>
      <c r="D11" s="342"/>
      <c r="E11" s="342"/>
      <c r="F11" s="342"/>
      <c r="G11" s="342"/>
      <c r="H11" s="343"/>
      <c r="I11" s="1" t="str">
        <f>IF($K$5="Deutsch","Firma:",IF($K$5="English","Company:",IF($K$5="Français","Société:",IF($K$5="Portugues","Firma:",IF($K$5="中文","供应商：",IF($K$5="हिन्दी","कम्पनी:"))))))</f>
        <v>Company:</v>
      </c>
      <c r="J11" s="344" t="str">
        <f>IF($B$6="","",IF($B$6="ThyssenKrupp Presta Tec Center AG","ThyssenKrupp Presta Tec Center AG",IF($B$6="ThyssenKrupp Presta Ilsenburg GmbH","ThyssenKrupp Presta Ilsenburg GmbH",IF($B$6="ThyssenKrupp Presta Chemnitz GmbH","ThyssenKrupp Presta Chemnitz GmbH",IF($B$6="ThyssenKrupp Presta Danville LLC","ThyssenKrupp Presta Danville LLC",IF($B$6="ThyssenKrupp Presta Dalian Co. Ltd.","ThyssenKrupp Presta Dalian Co. Ltd.",IF($B$6="ThyssenKrupp Valvetrain GmbH","ThyssenKrupp Valvetrain GmbH",IF($B$6="ThyssenKrupp Valvetrain China Ltd.","ThyssenKrupp Valvetrain China Ltd.",IF($B$6="ThyssenKrupp Brasil Ltda.","ThyssenKrupp Brasil Ltda.",)))))))))</f>
        <v/>
      </c>
      <c r="K11" s="344"/>
      <c r="L11" s="344"/>
      <c r="M11" s="344"/>
      <c r="N11" s="345"/>
      <c r="O11" s="153"/>
      <c r="P11" s="153"/>
      <c r="Q11" s="153"/>
      <c r="R11" s="153"/>
      <c r="S11" s="153"/>
      <c r="T11" s="152" t="s">
        <v>10</v>
      </c>
      <c r="U11" s="155" t="s">
        <v>78</v>
      </c>
      <c r="V11" s="152"/>
      <c r="W11" s="152"/>
      <c r="X11" s="152"/>
      <c r="Y11" s="153"/>
      <c r="Z11" s="157" t="s">
        <v>65</v>
      </c>
      <c r="AA11" s="158">
        <v>240</v>
      </c>
      <c r="AB11" s="159">
        <v>0.03</v>
      </c>
      <c r="AC11" s="158">
        <v>20</v>
      </c>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row>
    <row r="12" spans="2:51" ht="15" customHeight="1" x14ac:dyDescent="0.25">
      <c r="B12" s="2" t="str">
        <f>IF($K$5="Deutsch","Adresse:",IF($K$5="English","Address:",IF($K$5="Français","Adresse:",IF($K$5="Portugues","Endereço:",IF($K$5="中文","地址：",IF($K$5="हिन्दी","पता:"))))))</f>
        <v>Address:</v>
      </c>
      <c r="C12" s="255"/>
      <c r="D12" s="256"/>
      <c r="E12" s="256"/>
      <c r="F12" s="256"/>
      <c r="G12" s="256"/>
      <c r="H12" s="257"/>
      <c r="I12" s="2" t="str">
        <f>IF($K$5="Deutsch","Adresse:",IF($K$5="English","Address:",IF($K$5="Français","Adresse:",IF($K$5="Portugues","Endereço:",IF($K$5="中文","地址：",IF($K$5="हिन्दी","पता:"))))))</f>
        <v>Address:</v>
      </c>
      <c r="J12" s="337" t="str">
        <f>IF($B$6="","",IF($B$6="ThyssenKrupp Presta Tec Center AG",$T$42,IF($B$6="ThyssenKrupp Presta Ilsenburg GmbH",$W$42,IF($B$6="ThyssenKrupp Presta Chemnitz GmbH",$Z$42,IF($B$6="ThyssenKrupp Presta Danville LLC",$AC$42,IF($B$6="ThyssenKrupp Presta Dalian Co. Ltd.",$AF$42,IF($B$6="ThyssenKrupp Valvetrain GmbH",$AK$42,IF($B$6="ThyssenKrupp Valvetrain China Ltd.",$AN$42,IF($B$6="ThyssenKrupp Brasil Ltda.",$AR$42,)))))))))</f>
        <v/>
      </c>
      <c r="K12" s="337"/>
      <c r="L12" s="337"/>
      <c r="M12" s="337"/>
      <c r="N12" s="338"/>
      <c r="O12" s="153"/>
      <c r="P12" s="153"/>
      <c r="Q12" s="153"/>
      <c r="R12" s="153"/>
      <c r="S12" s="153"/>
      <c r="T12" s="152" t="s">
        <v>4</v>
      </c>
      <c r="U12" s="155" t="s">
        <v>79</v>
      </c>
      <c r="V12" s="152"/>
      <c r="W12" s="152"/>
      <c r="X12" s="152"/>
      <c r="Y12" s="152"/>
      <c r="Z12" s="157" t="s">
        <v>7</v>
      </c>
      <c r="AA12" s="158">
        <v>240</v>
      </c>
      <c r="AB12" s="159">
        <v>0.03</v>
      </c>
      <c r="AC12" s="158">
        <v>20</v>
      </c>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row>
    <row r="13" spans="2:51" ht="15" customHeight="1" x14ac:dyDescent="0.25">
      <c r="B13" s="2" t="str">
        <f>IF($K$5="Deutsch","PLZ, Ort:",IF($K$5="English","Postcode, Place:",IF($K$5="Français","CP, lieu:",IF($K$5="Portugues","Cod. Postal, Localidade:",IF($K$5="中文","邮编：",IF($K$5="हिन्दी","पोस्टल कोड, शहर:"))))))</f>
        <v>Postcode, Place:</v>
      </c>
      <c r="C13" s="255"/>
      <c r="D13" s="256"/>
      <c r="E13" s="256"/>
      <c r="F13" s="256"/>
      <c r="G13" s="256"/>
      <c r="H13" s="257"/>
      <c r="I13" s="2" t="str">
        <f>IF($K$5="Deutsch","PLZ, Ort:",IF($K$5="English","Postcode, Place:",IF($K$5="Français","CP, lieu:",IF($K$5="Portugues","Cod. Postal, Localidade:",IF($K$5="中文","邮编：",IF($K$5="हिन्दी","पोस्टल कोड, शहर:"))))))</f>
        <v>Postcode, Place:</v>
      </c>
      <c r="J13" s="337" t="str">
        <f>IF($B$6="","",IF($B$6="ThyssenKrupp Presta Tec Center AG",$T$43,IF($B$6="ThyssenKrupp Presta Ilsenburg GmbH",$W$43,IF($B$6="ThyssenKrupp Presta Chemnitz GmbH",$Z$43,IF($B$6="ThyssenKrupp Presta Danville LLC",$AC$43,IF($B$6="ThyssenKrupp Presta Dalian Co. Ltd.",$AF$43,IF($B$6="ThyssenKrupp Valvetrain GmbH",$AK$43,IF($B$6="ThyssenKrupp Valvetrain China Ltd.",$AN$43,IF($B$6="ThyssenKrupp Brasil Ltda.",$AR$43,)))))))))</f>
        <v/>
      </c>
      <c r="K13" s="337"/>
      <c r="L13" s="337"/>
      <c r="M13" s="337"/>
      <c r="N13" s="338"/>
      <c r="O13" s="153"/>
      <c r="P13" s="153"/>
      <c r="Q13" s="153"/>
      <c r="R13" s="153"/>
      <c r="S13" s="153"/>
      <c r="T13" s="152" t="s">
        <v>2</v>
      </c>
      <c r="U13" s="155" t="s">
        <v>80</v>
      </c>
      <c r="V13" s="152"/>
      <c r="W13" s="152"/>
      <c r="X13" s="152"/>
      <c r="Y13" s="152"/>
      <c r="Z13" s="157" t="s">
        <v>5</v>
      </c>
      <c r="AA13" s="158">
        <v>240</v>
      </c>
      <c r="AB13" s="159">
        <v>0.03</v>
      </c>
      <c r="AC13" s="158">
        <v>20</v>
      </c>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row>
    <row r="14" spans="2:51" ht="15" customHeight="1" x14ac:dyDescent="0.25">
      <c r="B14" s="2" t="str">
        <f>IF($K$5="Deutsch","Land:",IF($K$5="English","Country:",IF($K$5="Français","Pays:",IF($K$5="Portugues","Pais:",IF($K$5="中文","国家：",IF($K$5="हिन्दी","देश:"))))))</f>
        <v>Country:</v>
      </c>
      <c r="C14" s="255"/>
      <c r="D14" s="256"/>
      <c r="E14" s="256"/>
      <c r="F14" s="256"/>
      <c r="G14" s="256"/>
      <c r="H14" s="257"/>
      <c r="I14" s="2" t="str">
        <f>IF($K$5="Deutsch","Land:",IF($K$5="English","Country:",IF($K$5="Français","Pays:",IF($K$5="Portugues","Pais:",IF($K$5="中文","国家：",IF($K$5="हिन्दी","देश:"))))))</f>
        <v>Country:</v>
      </c>
      <c r="J14" s="337" t="str">
        <f>IF($B$6="","",IF($B$6="ThyssenKrupp Presta Tec Center AG",$T$44,IF($B$6="ThyssenKrupp Presta Ilsenburg GmbH",$W$44,IF($B$6="ThyssenKrupp Presta Chemnitz GmbH",$Z$44,IF($B$6="ThyssenKrupp Presta Danville LLC",$AC$44,IF($B$6="ThyssenKrupp Presta Dalian Co. Ltd.",$AF$44,IF($B$6="ThyssenKrupp Valvetrain GmbH",$AK$44,IF($B$6="ThyssenKrupp Valvetrain China Ltd.",$AN$44,IF($B$6="ThyssenKrupp Brasil Ltda.",$AR$44,)))))))))</f>
        <v/>
      </c>
      <c r="K14" s="337"/>
      <c r="L14" s="337"/>
      <c r="M14" s="337"/>
      <c r="N14" s="338"/>
      <c r="O14" s="153"/>
      <c r="P14" s="153"/>
      <c r="Q14" s="153"/>
      <c r="R14" s="153"/>
      <c r="S14" s="153"/>
      <c r="T14" s="152" t="s">
        <v>3</v>
      </c>
      <c r="U14" s="155" t="s">
        <v>81</v>
      </c>
      <c r="V14" s="152"/>
      <c r="W14" s="152"/>
      <c r="X14" s="152"/>
      <c r="Y14" s="152"/>
      <c r="Z14" s="157" t="s">
        <v>8</v>
      </c>
      <c r="AA14" s="158">
        <v>288</v>
      </c>
      <c r="AB14" s="159">
        <v>0.05</v>
      </c>
      <c r="AC14" s="158">
        <v>30</v>
      </c>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row>
    <row r="15" spans="2:51" ht="15" customHeight="1" x14ac:dyDescent="0.2">
      <c r="B15" s="2" t="str">
        <f>IF($K$5="Deutsch","Kontaktperson:",IF($K$5="English","Contact name:",IF($K$5="Français","Interlocuteur:",IF($K$5="Portugues","Perssoas para contato:",IF($K$5="中文","联系人：",IF($K$5="हिन्दी","संपर्क व्यक्ति:"))))))</f>
        <v>Contact name:</v>
      </c>
      <c r="C15" s="255"/>
      <c r="D15" s="256"/>
      <c r="E15" s="256"/>
      <c r="F15" s="256"/>
      <c r="G15" s="256"/>
      <c r="H15" s="257"/>
      <c r="I15" s="2" t="str">
        <f>IF($K$5="Deutsch","Kontaktperson:",IF($K$5="English","Contact name:",IF($K$5="Français","Interlocuteur:",IF($K$5="Portugues","Perssoas para contato:",IF($K$5="中文","联系人：",IF($K$5="हिन्दी","संपर्क व्यक्ति:"))))))</f>
        <v>Contact name:</v>
      </c>
      <c r="J15" s="255"/>
      <c r="K15" s="256"/>
      <c r="L15" s="256"/>
      <c r="M15" s="256"/>
      <c r="N15" s="257"/>
      <c r="O15" s="153"/>
      <c r="P15" s="153"/>
      <c r="Q15" s="153"/>
      <c r="R15" s="153"/>
      <c r="S15" s="153"/>
      <c r="T15" s="152" t="s">
        <v>1</v>
      </c>
      <c r="U15" s="155"/>
      <c r="V15" s="152"/>
      <c r="W15" s="152"/>
      <c r="X15" s="152"/>
      <c r="Y15" s="152"/>
      <c r="Z15" s="153" t="s">
        <v>9</v>
      </c>
      <c r="AA15" s="158">
        <v>312</v>
      </c>
      <c r="AB15" s="159">
        <v>0.05</v>
      </c>
      <c r="AC15" s="158">
        <v>30</v>
      </c>
      <c r="AD15" s="153"/>
      <c r="AE15" s="153"/>
      <c r="AF15" s="153"/>
      <c r="AG15" s="153"/>
      <c r="AH15" s="153"/>
      <c r="AI15" s="153"/>
      <c r="AJ15" s="153"/>
      <c r="AK15" s="153"/>
      <c r="AL15" s="153"/>
      <c r="AM15" s="153"/>
      <c r="AN15" s="153"/>
      <c r="AO15" s="153"/>
      <c r="AP15" s="153"/>
      <c r="AQ15" s="153"/>
      <c r="AR15" s="153"/>
      <c r="AS15" s="153"/>
      <c r="AT15" s="153"/>
      <c r="AU15" s="153"/>
      <c r="AV15" s="161"/>
      <c r="AW15" s="153"/>
      <c r="AX15" s="153"/>
      <c r="AY15" s="153"/>
    </row>
    <row r="16" spans="2:51" ht="15" customHeight="1" x14ac:dyDescent="0.25">
      <c r="B16" s="2" t="str">
        <f>IF($K$5="Deutsch","Abteilung:",IF($K$5="English","Department:",IF($K$5="Français","Département:",IF($K$5="Portugues","Departamento:",IF($K$5="中文","部门：",IF($K$5="हिन्दी","विभाग:"))))))</f>
        <v>Department:</v>
      </c>
      <c r="C16" s="255"/>
      <c r="D16" s="256"/>
      <c r="E16" s="256"/>
      <c r="F16" s="256"/>
      <c r="G16" s="256"/>
      <c r="H16" s="257"/>
      <c r="I16" s="2" t="str">
        <f>IF($K$5="Deutsch","Abteilung:",IF($K$5="English","Department:",IF($K$5="Français","Département:",IF($K$5="Portugues","Departamento:",IF($K$5="中文","部门：",IF($K$5="हिन्दी","विभाग:"))))))</f>
        <v>Department:</v>
      </c>
      <c r="J16" s="255"/>
      <c r="K16" s="256"/>
      <c r="L16" s="256"/>
      <c r="M16" s="256"/>
      <c r="N16" s="257"/>
      <c r="O16" s="153"/>
      <c r="P16" s="153"/>
      <c r="Q16" s="153"/>
      <c r="R16" s="153"/>
      <c r="S16" s="153"/>
      <c r="T16" s="152" t="s">
        <v>11</v>
      </c>
      <c r="U16" s="155"/>
      <c r="V16" s="152"/>
      <c r="W16" s="152"/>
      <c r="X16" s="152"/>
      <c r="Y16" s="152"/>
      <c r="Z16" s="157" t="s">
        <v>69</v>
      </c>
      <c r="AA16" s="158">
        <v>312</v>
      </c>
      <c r="AB16" s="159">
        <v>0.05</v>
      </c>
      <c r="AC16" s="158">
        <v>30</v>
      </c>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row>
    <row r="17" spans="2:51" ht="15" customHeight="1" x14ac:dyDescent="0.25">
      <c r="B17" s="2" t="str">
        <f>IF($K$5="Deutsch","Telefon:",IF($K$5="English","Telephone:",IF($K$5="Français","Téléphone:",IF($K$5="Portugues","Telefone:",IF($K$5="中文","联系电话：",IF($K$5="हिन्दी","फोन:"))))))</f>
        <v>Telephone:</v>
      </c>
      <c r="C17" s="255"/>
      <c r="D17" s="256"/>
      <c r="E17" s="256"/>
      <c r="F17" s="256"/>
      <c r="G17" s="256"/>
      <c r="H17" s="257"/>
      <c r="I17" s="2" t="str">
        <f>IF($K$5="Deutsch","Telefon:",IF($K$5="English","Telephone:",IF($K$5="Français","Téléphone:",IF($K$5="Portugues","Telefone:",IF($K$5="中文","联系电话：",IF($K$5="हिन्दी","फोन:"))))))</f>
        <v>Telephone:</v>
      </c>
      <c r="J17" s="255"/>
      <c r="K17" s="256"/>
      <c r="L17" s="256"/>
      <c r="M17" s="256"/>
      <c r="N17" s="257"/>
      <c r="O17" s="153"/>
      <c r="P17" s="153"/>
      <c r="Q17" s="153"/>
      <c r="R17" s="153"/>
      <c r="S17" s="153"/>
      <c r="T17" s="152"/>
      <c r="U17" s="152"/>
      <c r="V17" s="152"/>
      <c r="W17" s="152"/>
      <c r="X17" s="152"/>
      <c r="Y17" s="153"/>
      <c r="Z17" s="157" t="s">
        <v>71</v>
      </c>
      <c r="AA17" s="158">
        <v>280</v>
      </c>
      <c r="AB17" s="159">
        <v>0.08</v>
      </c>
      <c r="AC17" s="158">
        <v>30</v>
      </c>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row>
    <row r="18" spans="2:51" ht="15" customHeight="1" x14ac:dyDescent="0.25">
      <c r="B18" s="2" t="str">
        <f>IF($K$5="Deutsch","Fax:",IF($K$5="English","Fax:",IF($K$5="Français","Fax:",IF($K$5="Portugues","Fax:",IF($K$5="中文","传真：",IF($K$5="हिन्दी","फैक्स:"))))))</f>
        <v>Fax:</v>
      </c>
      <c r="C18" s="255"/>
      <c r="D18" s="256"/>
      <c r="E18" s="256"/>
      <c r="F18" s="256"/>
      <c r="G18" s="256"/>
      <c r="H18" s="257"/>
      <c r="I18" s="2" t="str">
        <f>IF($K$5="Deutsch","Fax:",IF($K$5="English","Fax:",IF($K$5="Français","Fax:",IF($K$5="Portugues","Fax:",IF($K$5="中文","传真：",IF($K$5="हिन्दी","फैक्स:"))))))</f>
        <v>Fax:</v>
      </c>
      <c r="J18" s="255"/>
      <c r="K18" s="256"/>
      <c r="L18" s="256"/>
      <c r="M18" s="256"/>
      <c r="N18" s="257"/>
      <c r="O18" s="153"/>
      <c r="P18" s="153"/>
      <c r="Q18" s="153"/>
      <c r="R18" s="153"/>
      <c r="S18" s="153"/>
      <c r="T18" s="152"/>
      <c r="U18" s="152"/>
      <c r="V18" s="152"/>
      <c r="W18" s="152"/>
      <c r="X18" s="152"/>
      <c r="Y18" s="153"/>
      <c r="Z18" s="157" t="s">
        <v>75</v>
      </c>
      <c r="AA18" s="158">
        <v>280</v>
      </c>
      <c r="AB18" s="159">
        <v>0.08</v>
      </c>
      <c r="AC18" s="158">
        <v>30</v>
      </c>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row>
    <row r="19" spans="2:51" ht="15" customHeight="1" x14ac:dyDescent="0.25">
      <c r="B19" s="88" t="str">
        <f>IF($K$5="Deutsch","email:",IF($K$5="English","email:",IF($K$5="Français","email:",IF($K$5="Portugues","email:",IF($K$5="中文","邮箱：",IF($K$5="हिन्दी","ईमेल:"))))))</f>
        <v>email:</v>
      </c>
      <c r="C19" s="255"/>
      <c r="D19" s="256"/>
      <c r="E19" s="256"/>
      <c r="F19" s="256"/>
      <c r="G19" s="256"/>
      <c r="H19" s="257"/>
      <c r="I19" s="88" t="str">
        <f>IF($K$5="Deutsch","email:",IF($K$5="English","email:",IF($K$5="Français","email:",IF($K$5="Portugues","email:",IF($K$5="中文","邮箱：",IF($K$5="हिन्दी","ईमेल:"))))))</f>
        <v>email:</v>
      </c>
      <c r="J19" s="255"/>
      <c r="K19" s="256"/>
      <c r="L19" s="256"/>
      <c r="M19" s="256"/>
      <c r="N19" s="257"/>
      <c r="O19" s="153"/>
      <c r="P19" s="153"/>
      <c r="Q19" s="153"/>
      <c r="R19" s="153"/>
      <c r="S19" s="153"/>
      <c r="T19" s="152"/>
      <c r="U19" s="152" t="s">
        <v>35</v>
      </c>
      <c r="V19" s="152" t="s">
        <v>14</v>
      </c>
      <c r="W19" s="152" t="s">
        <v>35</v>
      </c>
      <c r="X19" s="152"/>
      <c r="Y19" s="153"/>
      <c r="Z19" s="157" t="s">
        <v>76</v>
      </c>
      <c r="AA19" s="158">
        <v>240</v>
      </c>
      <c r="AB19" s="159">
        <v>0.03</v>
      </c>
      <c r="AC19" s="158">
        <v>20</v>
      </c>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row>
    <row r="20" spans="2:51" ht="31.5" customHeight="1" thickBot="1" x14ac:dyDescent="0.25">
      <c r="B20" s="41" t="str">
        <f>IF($K$5="Deutsch","Zusätzliche Kontaktperson:",IF($K$5="English","Additional contacts:",IF($K$5="Français","Autre personne:",IF($K$5="Portugues","Outras pessoas de contato:",IF($K$5="中文","采购联系人：",IF($K$5="हिन्दी","अतिरिक्त संपर्क व्यक्ति:"))))))</f>
        <v>Additional contacts:</v>
      </c>
      <c r="C20" s="385"/>
      <c r="D20" s="386"/>
      <c r="E20" s="386"/>
      <c r="F20" s="386"/>
      <c r="G20" s="386"/>
      <c r="H20" s="387"/>
      <c r="I20" s="41" t="str">
        <f>IF($K$5="Deutsch","Zusätzliche Kontaktperson:",IF($K$5="English","Additional contacts:",IF($K$5="Français","Autre personne:",IF($K$5="Portugues","Outras pessoas de contato:",IF($K$5="中文","采购联系人：",IF($K$5="हिन्दी","अतिरिक्त संपर्क व्यक्ति:"))))))</f>
        <v>Additional contacts:</v>
      </c>
      <c r="J20" s="382"/>
      <c r="K20" s="383"/>
      <c r="L20" s="383"/>
      <c r="M20" s="383"/>
      <c r="N20" s="384"/>
      <c r="O20" s="153"/>
      <c r="P20" s="153"/>
      <c r="Q20" s="153"/>
      <c r="R20" s="153"/>
      <c r="S20" s="153"/>
      <c r="T20" s="152"/>
      <c r="U20" s="152" t="s">
        <v>36</v>
      </c>
      <c r="V20" s="152" t="s">
        <v>16</v>
      </c>
      <c r="W20" s="152" t="s">
        <v>39</v>
      </c>
      <c r="X20" s="152"/>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row>
    <row r="21" spans="2:51" ht="3.75" customHeight="1" thickBot="1" x14ac:dyDescent="0.25">
      <c r="B21" s="10"/>
      <c r="C21" s="10"/>
      <c r="D21" s="10"/>
      <c r="E21" s="10"/>
      <c r="F21" s="10"/>
      <c r="G21" s="10"/>
      <c r="H21" s="128"/>
      <c r="I21" s="128"/>
      <c r="J21" s="10"/>
      <c r="K21" s="10"/>
      <c r="L21" s="10"/>
      <c r="M21" s="10"/>
      <c r="N21" s="10"/>
      <c r="O21" s="152"/>
      <c r="P21" s="153"/>
      <c r="Q21" s="153"/>
      <c r="R21" s="153"/>
      <c r="S21" s="153"/>
      <c r="T21" s="152"/>
      <c r="U21" s="152"/>
      <c r="V21" s="152"/>
      <c r="W21" s="152"/>
      <c r="X21" s="152"/>
      <c r="Y21" s="153"/>
      <c r="Z21" s="153"/>
      <c r="AA21" s="153"/>
      <c r="AB21" s="153"/>
      <c r="AC21" s="153"/>
      <c r="AD21" s="153"/>
      <c r="AE21" s="153"/>
      <c r="AF21" s="153"/>
      <c r="AG21" s="153"/>
      <c r="AH21" s="153"/>
      <c r="AI21" s="153"/>
      <c r="AJ21" s="153"/>
      <c r="AK21" s="153"/>
      <c r="AL21" s="153"/>
      <c r="AM21" s="153"/>
      <c r="AN21" s="153"/>
      <c r="AO21" s="153"/>
      <c r="AP21" s="153"/>
      <c r="AQ21" s="153"/>
      <c r="AR21" s="153"/>
      <c r="AS21" s="153"/>
      <c r="AT21" s="153"/>
      <c r="AU21" s="153"/>
      <c r="AV21" s="153"/>
      <c r="AW21" s="153"/>
      <c r="AX21" s="153"/>
      <c r="AY21" s="153"/>
    </row>
    <row r="22" spans="2:51" ht="15" customHeight="1" x14ac:dyDescent="0.2">
      <c r="B22" s="3" t="str">
        <f>IF($K$5="Deutsch","Erstellungsdatum:",IF($K$5="English","Creation date:",IF($K$5="Français","Date de création:",IF($K$5="Portugues","Data de criação:",IF($K$5="中文","创建日期：",IF($K$5="हिन्दी","निर्माण तिथि:"))))))</f>
        <v>Creation date:</v>
      </c>
      <c r="C22" s="282"/>
      <c r="D22" s="283"/>
      <c r="E22" s="283"/>
      <c r="F22" s="283"/>
      <c r="G22" s="283"/>
      <c r="H22" s="284"/>
      <c r="I22" s="3" t="str">
        <f>IF($K$5="Deutsch","Teile-Bezeichnung:",IF($K$5="English","Part description:",IF($K$5="Français","Désignation de la pièce:",IF($K$5="Portugues","Descrição da peça:",IF($K$5="中文","零件描述：",IF($K$5="हिन्दी",":भाग का नाम:",))))))</f>
        <v>Part description:</v>
      </c>
      <c r="J22" s="368"/>
      <c r="K22" s="369"/>
      <c r="L22" s="369"/>
      <c r="M22" s="369"/>
      <c r="N22" s="370"/>
      <c r="O22" s="153"/>
      <c r="P22" s="153"/>
      <c r="Q22" s="153"/>
      <c r="R22" s="153"/>
      <c r="S22" s="153"/>
      <c r="T22" s="152"/>
      <c r="U22" s="152"/>
      <c r="V22" s="152"/>
      <c r="W22" s="152"/>
      <c r="X22" s="152"/>
      <c r="Y22" s="153"/>
      <c r="Z22" s="153"/>
      <c r="AA22" s="153"/>
      <c r="AB22" s="153"/>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row>
    <row r="23" spans="2:51" ht="15" customHeight="1" x14ac:dyDescent="0.2">
      <c r="B23" s="1" t="str">
        <f>IF($K$5="Deutsch","Materialnummer Lieferant:",IF($K$5="English","Material number Supplier:",IF($K$5="Français","Référence fournisseur:",IF($K$5="Portugues","Numero fornecedor do material:",IF($K$5="中文","供应商物料号：",IF($K$5="हिन्दी","सामग्री आपूर्तिकर्ता संख्या:"))))))</f>
        <v>Material number Supplier:</v>
      </c>
      <c r="C23" s="394"/>
      <c r="D23" s="395"/>
      <c r="E23" s="395"/>
      <c r="F23" s="395"/>
      <c r="G23" s="395"/>
      <c r="H23" s="396"/>
      <c r="I23" s="2" t="str">
        <f>IF($K$5="Deutsch","Materialnummer TK:",IF($K$5="English","Material number TK:",IF($K$5="Français","Référence TK:",IF($K$5="Portugues","Numero TK do material:",IF($K$5="中文","客户物料号：",IF($K$5="हिन्दी","ग्राहक सामग्री नंबर:",))))))</f>
        <v>Material number TK:</v>
      </c>
      <c r="J23" s="365"/>
      <c r="K23" s="366"/>
      <c r="L23" s="366"/>
      <c r="M23" s="366"/>
      <c r="N23" s="367"/>
      <c r="O23" s="153"/>
      <c r="P23" s="153"/>
      <c r="Q23" s="153"/>
      <c r="R23" s="153"/>
      <c r="S23" s="153"/>
      <c r="T23" s="152"/>
      <c r="U23" s="152" t="s">
        <v>37</v>
      </c>
      <c r="V23" s="152" t="s">
        <v>15</v>
      </c>
      <c r="W23" s="152" t="s">
        <v>40</v>
      </c>
      <c r="X23" s="152"/>
      <c r="Y23" s="153"/>
      <c r="Z23" s="153"/>
      <c r="AA23" s="153"/>
      <c r="AB23" s="153"/>
      <c r="AC23" s="153"/>
      <c r="AD23" s="153"/>
      <c r="AE23" s="153"/>
      <c r="AF23" s="153"/>
      <c r="AG23" s="153"/>
      <c r="AH23" s="153"/>
      <c r="AI23" s="153"/>
      <c r="AJ23" s="153"/>
      <c r="AK23" s="153"/>
      <c r="AL23" s="153"/>
      <c r="AM23" s="153"/>
      <c r="AN23" s="153"/>
      <c r="AO23" s="153"/>
      <c r="AP23" s="153"/>
      <c r="AQ23" s="153"/>
      <c r="AR23" s="153"/>
      <c r="AS23" s="153"/>
      <c r="AT23" s="153"/>
      <c r="AU23" s="153"/>
      <c r="AV23" s="153"/>
      <c r="AW23" s="153"/>
      <c r="AX23" s="153"/>
      <c r="AY23" s="153"/>
    </row>
    <row r="24" spans="2:51" ht="30" customHeight="1" x14ac:dyDescent="0.2">
      <c r="B24" s="88" t="str">
        <f>IF($K$5="Deutsch","Materialnummer Setzteil:",IF($K$5="English","Material number directed buy part/set part:",IF($K$5="Français","Pièces à fournisseur imposé par le client:",IF($K$5="Portugues","Numero fornecedor homologado:",IF($K$5="中文","Material number directed buy part:",IF($K$5="हिन्दी","Material number directed buy part:"))))))</f>
        <v>Material number directed buy part/set part:</v>
      </c>
      <c r="C24" s="360"/>
      <c r="D24" s="361"/>
      <c r="E24" s="361"/>
      <c r="F24" s="361"/>
      <c r="G24" s="361"/>
      <c r="H24" s="362"/>
      <c r="I24" s="88" t="str">
        <f>IF($K$5="Deutsch","Teile-Gewicht:",IF($K$5="English","Part-Weight:",IF($K$5="Français","Poinds de la pièce:",IF($K$5="Portugues","Peso da peça:",IF($K$5="中文","零件重量：",IF($K$5="हिन्दी","भाग वजन:",))))))</f>
        <v>Part-Weight:</v>
      </c>
      <c r="J24" s="150"/>
      <c r="K24" s="11"/>
      <c r="L24" s="363" t="str">
        <f>IF($K$5="Deutsch","Rostschutzzeit:",IF($K$5="English","anti-rust time:",IF($K$5="Français","temps de protection contre la corrosion:",IF($K$5="Portugues","tempo de duração da proteção antiferrugem:",IF($K$5="中文","anti-rust time：",IF($K$5="anti-rust time:",))))))</f>
        <v>anti-rust time:</v>
      </c>
      <c r="M24" s="364"/>
      <c r="N24" s="149"/>
      <c r="O24" s="153"/>
      <c r="P24" s="153"/>
      <c r="Q24" s="153"/>
      <c r="R24" s="153"/>
      <c r="S24" s="152"/>
      <c r="T24" s="152"/>
      <c r="U24" s="152" t="s">
        <v>38</v>
      </c>
      <c r="V24" s="152" t="s">
        <v>17</v>
      </c>
      <c r="W24" s="152" t="s">
        <v>41</v>
      </c>
      <c r="X24" s="152"/>
      <c r="Y24" s="152"/>
      <c r="Z24" s="152"/>
      <c r="AA24" s="152"/>
      <c r="AB24" s="152"/>
      <c r="AC24" s="152"/>
      <c r="AD24" s="152"/>
      <c r="AE24" s="152"/>
      <c r="AF24" s="152"/>
      <c r="AG24" s="152"/>
      <c r="AH24" s="153"/>
      <c r="AI24" s="153"/>
      <c r="AJ24" s="153"/>
      <c r="AK24" s="153"/>
      <c r="AL24" s="153"/>
      <c r="AM24" s="153"/>
      <c r="AN24" s="153"/>
      <c r="AO24" s="153"/>
      <c r="AP24" s="153"/>
      <c r="AQ24" s="153"/>
      <c r="AR24" s="153"/>
      <c r="AS24" s="153"/>
      <c r="AT24" s="153"/>
      <c r="AU24" s="153"/>
      <c r="AV24" s="153"/>
      <c r="AW24" s="153"/>
      <c r="AX24" s="153"/>
      <c r="AY24" s="153"/>
    </row>
    <row r="25" spans="2:51" ht="30" customHeight="1" x14ac:dyDescent="0.2">
      <c r="B25" s="146" t="str">
        <f>IF($K$5="Deutsch","Befüllungsart:",IF($K$5="English","Method of filling:",IF($K$5="Français","Remplissage de l'emballage:",IF($K$5="Portugues","Tipo de enchimento da embalagem:",IF($K$5="中文","包装方式：",IF($K$5="हिन्दी","भरने का प्रकार:"))))))</f>
        <v>Method of filling:</v>
      </c>
      <c r="C25" s="268"/>
      <c r="D25" s="269"/>
      <c r="E25" s="269"/>
      <c r="F25" s="269"/>
      <c r="G25" s="269"/>
      <c r="H25" s="270"/>
      <c r="I25" s="147" t="str">
        <f>IF($K$5="Deutsch","Zuführung TK:",IF($K$5="English","Machine feeding TK:",IF($K$5="Français","Amenée des pièces aux machines TK:",IF($K$5="Portugues","Suprimento máquina TK :",IF($K$5="中文","Machine feeding TK",IF($K$5="हिन्दी","Machine feeding TK:",))))))</f>
        <v>Machine feeding TK:</v>
      </c>
      <c r="J25" s="457"/>
      <c r="K25" s="458"/>
      <c r="L25" s="274" t="str">
        <f>IF($K$5="Deutsch","Korrosionsschutzmedium:",IF($K$5="English","corrosion protection medium:",IF($K$5="Français","moyen de protection contre la corrosion:",IF($K$5="Portugues","Substância anticorrosiva:",IF($K$5="中文","corrosion protection medium:",IF($K$5="corrosion protection medium:",))))))</f>
        <v>corrosion protection medium:</v>
      </c>
      <c r="M25" s="275"/>
      <c r="N25" s="149"/>
      <c r="O25" s="153"/>
      <c r="P25" s="153"/>
      <c r="Q25" s="153"/>
      <c r="R25" s="153"/>
      <c r="S25" s="152"/>
      <c r="T25" s="152"/>
      <c r="U25" s="152"/>
      <c r="V25" s="152"/>
      <c r="W25" s="152"/>
      <c r="X25" s="152"/>
      <c r="Y25" s="152"/>
      <c r="Z25" s="152"/>
      <c r="AA25" s="152"/>
      <c r="AB25" s="152"/>
      <c r="AC25" s="152"/>
      <c r="AD25" s="152"/>
      <c r="AE25" s="152"/>
      <c r="AF25" s="152"/>
      <c r="AG25" s="152"/>
      <c r="AH25" s="153"/>
      <c r="AI25" s="153"/>
      <c r="AJ25" s="153"/>
      <c r="AK25" s="153"/>
      <c r="AL25" s="153"/>
      <c r="AM25" s="153"/>
      <c r="AN25" s="153"/>
      <c r="AO25" s="153"/>
      <c r="AP25" s="153"/>
      <c r="AQ25" s="153"/>
      <c r="AR25" s="153"/>
      <c r="AS25" s="153"/>
      <c r="AT25" s="153"/>
      <c r="AU25" s="153"/>
      <c r="AV25" s="153"/>
      <c r="AW25" s="153"/>
      <c r="AX25" s="153"/>
      <c r="AY25" s="153"/>
    </row>
    <row r="26" spans="2:51" ht="15" customHeight="1" x14ac:dyDescent="0.2">
      <c r="B26" s="148" t="str">
        <f>IF($K$5="Deutsch","Fertigungslosgrösse (Stück):",IF($K$5="English","Production Batch Size (pcs):",IF($K$5="Français","Taille du lot de fabrication:",IF($K$5="Portugues","Tamanho do lote (unidades):",IF($K$5="中文","生产批次数量（pcs）：",IF($K$5="हिन्दी","उत्पादन बहुत आकार (यूनिट):"))))))</f>
        <v>Production Batch Size (pcs):</v>
      </c>
      <c r="C26" s="271"/>
      <c r="D26" s="272"/>
      <c r="E26" s="272"/>
      <c r="F26" s="272"/>
      <c r="G26" s="272"/>
      <c r="H26" s="273"/>
      <c r="I26" s="2" t="str">
        <f>IF($K$5="Deutsch","Laufzeit (Jahre):",IF($K$5="English","Life span (years):",IF($K$5="Français","Durée (ans):",IF($K$5="Portugues","Tempo de duração (anos):",IF($K$5="中文","使用期限 （年）：",IF($K$5="हिन्दी","अवधि (वर्ष):",))))))</f>
        <v>Life span (years):</v>
      </c>
      <c r="J26" s="138"/>
      <c r="K26" s="461" t="str">
        <f>IF($K$5="Deutsch","Lieferfrequenz:",IF($K$5="English","Delivery frequency:",IF($K$5="Français","Fréquence de livraison:",IF($K$5="Portugues","Frequēncia de entrega:",IF($K$5="中文","发货频次：",IF($K$5="हिन्दी","प्रसव आवृत्ति:"))))))</f>
        <v>Delivery frequency:</v>
      </c>
      <c r="L26" s="462"/>
      <c r="M26" s="462"/>
      <c r="N26" s="463"/>
      <c r="O26" s="153"/>
      <c r="P26" s="153"/>
      <c r="Q26" s="153"/>
      <c r="R26" s="153"/>
      <c r="S26" s="152"/>
      <c r="T26" s="152"/>
      <c r="U26" s="152"/>
      <c r="V26" s="152"/>
      <c r="W26" s="152"/>
      <c r="X26" s="152"/>
      <c r="Y26" s="152"/>
      <c r="Z26" s="152"/>
      <c r="AA26" s="152"/>
      <c r="AB26" s="152"/>
      <c r="AC26" s="152"/>
      <c r="AD26" s="152"/>
      <c r="AE26" s="152"/>
      <c r="AF26" s="152"/>
      <c r="AG26" s="152"/>
      <c r="AH26" s="153"/>
      <c r="AI26" s="153"/>
      <c r="AJ26" s="153"/>
      <c r="AK26" s="153"/>
      <c r="AL26" s="153"/>
      <c r="AM26" s="153"/>
      <c r="AN26" s="153"/>
      <c r="AO26" s="153"/>
      <c r="AP26" s="153"/>
      <c r="AQ26" s="153"/>
      <c r="AR26" s="153"/>
      <c r="AS26" s="153"/>
      <c r="AT26" s="153"/>
      <c r="AU26" s="153"/>
      <c r="AV26" s="153"/>
      <c r="AW26" s="153"/>
      <c r="AX26" s="153"/>
      <c r="AY26" s="153"/>
    </row>
    <row r="27" spans="2:51" ht="15" customHeight="1" x14ac:dyDescent="0.2">
      <c r="B27" s="260" t="str">
        <f>IF($K$5="Deutsch","Stapelfaktor (befüllt):",IF($K$5="English","Stacking factor (filled):",IF($K$5="Français","Coeff. d'empilage (rempli):",IF($K$5="Portugues","No. Caixas empilhadas (completas):",IF($K$5="中文","包装可堆垛层数：",IF($K$5="हिन्दी","Stacking कारक (भरे):"))))))</f>
        <v>Stacking factor (filled):</v>
      </c>
      <c r="C27" s="263"/>
      <c r="D27" s="264"/>
      <c r="E27" s="276" t="s">
        <v>77</v>
      </c>
      <c r="F27" s="464"/>
      <c r="G27" s="465"/>
      <c r="H27" s="466"/>
      <c r="I27" s="260" t="str">
        <f>IF($K$5="Deutsch","Stückzahl pro Jahr (max.):",IF($K$5="English","Annual quantity (pcs.):",IF($K$5="Français","Quantité annuelle (max):",IF($K$5="Portugues","Volume anual (max.):",IF($K$5="中文","年供货数量 （pcs）：",IF($K$5="हिन्दी","मात्रा प्रति वर्ष (अधिकतम)",))))))</f>
        <v>Annual quantity (pcs.):</v>
      </c>
      <c r="J27" s="138"/>
      <c r="K27" s="140">
        <v>2018</v>
      </c>
      <c r="L27" s="138"/>
      <c r="M27" s="34">
        <f>IF(K27=0,"",K30+1)</f>
        <v>2022</v>
      </c>
      <c r="N27" s="32"/>
      <c r="O27" s="153"/>
      <c r="P27" s="153"/>
      <c r="Q27" s="153"/>
      <c r="R27" s="153"/>
      <c r="S27" s="152"/>
      <c r="T27" s="154" t="s">
        <v>12</v>
      </c>
      <c r="U27" s="152"/>
      <c r="V27" s="154" t="s">
        <v>13</v>
      </c>
      <c r="W27" s="154"/>
      <c r="X27" s="154" t="s">
        <v>53</v>
      </c>
      <c r="Y27" s="152"/>
      <c r="Z27" s="152"/>
      <c r="AA27" s="154" t="s">
        <v>62</v>
      </c>
      <c r="AB27" s="152"/>
      <c r="AC27" s="152"/>
      <c r="AD27" s="152"/>
      <c r="AE27" s="152"/>
      <c r="AF27" s="152"/>
      <c r="AG27" s="152"/>
      <c r="AH27" s="153"/>
      <c r="AI27" s="153"/>
      <c r="AJ27" s="153"/>
      <c r="AK27" s="153"/>
      <c r="AL27" s="153"/>
      <c r="AM27" s="153"/>
      <c r="AN27" s="153"/>
      <c r="AO27" s="153"/>
      <c r="AP27" s="153"/>
      <c r="AQ27" s="153"/>
      <c r="AR27" s="153"/>
      <c r="AS27" s="153"/>
      <c r="AT27" s="153"/>
      <c r="AU27" s="153"/>
      <c r="AV27" s="153"/>
      <c r="AW27" s="153"/>
      <c r="AX27" s="153"/>
      <c r="AY27" s="153"/>
    </row>
    <row r="28" spans="2:51" ht="15" customHeight="1" x14ac:dyDescent="0.2">
      <c r="B28" s="267"/>
      <c r="C28" s="265"/>
      <c r="D28" s="266"/>
      <c r="E28" s="277"/>
      <c r="F28" s="467"/>
      <c r="G28" s="468"/>
      <c r="H28" s="469"/>
      <c r="I28" s="261"/>
      <c r="J28" s="138"/>
      <c r="K28" s="34">
        <f>IF(K27=0,"",K27+1)</f>
        <v>2019</v>
      </c>
      <c r="L28" s="138"/>
      <c r="M28" s="34">
        <f>IF(K27=0,"",M27+1)</f>
        <v>2023</v>
      </c>
      <c r="N28" s="32"/>
      <c r="O28" s="153"/>
      <c r="P28" s="153"/>
      <c r="Q28" s="153"/>
      <c r="R28" s="153"/>
      <c r="S28" s="152"/>
      <c r="T28" s="155">
        <v>5895</v>
      </c>
      <c r="U28" s="155">
        <f>T28*T30*T31</f>
        <v>33136974000</v>
      </c>
      <c r="V28" s="155">
        <v>12040</v>
      </c>
      <c r="W28" s="155">
        <f>V28*V30*V31</f>
        <v>67679248000</v>
      </c>
      <c r="X28" s="155">
        <v>13200</v>
      </c>
      <c r="Y28" s="155">
        <f>X28*X30*X31</f>
        <v>89760000000</v>
      </c>
      <c r="Z28" s="152" t="s">
        <v>58</v>
      </c>
      <c r="AA28" s="152">
        <v>284</v>
      </c>
      <c r="AB28" s="155">
        <f>AA28*AA30</f>
        <v>28116</v>
      </c>
      <c r="AC28" s="152"/>
      <c r="AD28" s="152"/>
      <c r="AE28" s="152"/>
      <c r="AF28" s="152"/>
      <c r="AG28" s="152"/>
      <c r="AH28" s="153"/>
      <c r="AI28" s="153"/>
      <c r="AJ28" s="153"/>
      <c r="AK28" s="153"/>
      <c r="AL28" s="153"/>
      <c r="AM28" s="153"/>
      <c r="AN28" s="153"/>
      <c r="AO28" s="153"/>
      <c r="AP28" s="153"/>
      <c r="AQ28" s="153"/>
      <c r="AR28" s="153"/>
      <c r="AS28" s="153"/>
      <c r="AT28" s="153"/>
      <c r="AU28" s="153"/>
      <c r="AV28" s="153"/>
      <c r="AW28" s="153"/>
      <c r="AX28" s="153"/>
      <c r="AY28" s="153"/>
    </row>
    <row r="29" spans="2:51" ht="15" customHeight="1" x14ac:dyDescent="0.2">
      <c r="B29" s="470" t="str">
        <f>IF($K$5="Deutsch","Revisionsnummer:",IF($K$5="English","Revision number:",IF($K$5="Français","Numéro de révision:",IF($K$5="Portugues","Número de revisão",IF($K$5="中文","Revision number:",IF($K$5="हिन्दी","Revision number:"))))))</f>
        <v>Revision number:</v>
      </c>
      <c r="C29" s="278"/>
      <c r="D29" s="279"/>
      <c r="E29" s="402" t="str">
        <f>IF($K$5="Deutsch","Revisionsdatum:",IF($K$5="English","Revision date:",IF($K$5="Français","Date de révision:",IF($K$5="Portugues","Data de revisão:",IF($K$5="中文","Revision date:",IF($K$5="हिन्दी","Revision date:"))))))</f>
        <v>Revision date:</v>
      </c>
      <c r="F29" s="377"/>
      <c r="G29" s="378"/>
      <c r="H29" s="379"/>
      <c r="I29" s="261"/>
      <c r="J29" s="138"/>
      <c r="K29" s="34">
        <f>IF(K27=0,"",K28+1)</f>
        <v>2020</v>
      </c>
      <c r="L29" s="138"/>
      <c r="M29" s="34">
        <f>IF(K27=0,"",M28+1)</f>
        <v>2024</v>
      </c>
      <c r="N29" s="32"/>
      <c r="O29" s="153"/>
      <c r="P29" s="153"/>
      <c r="Q29" s="153"/>
      <c r="R29" s="153"/>
      <c r="S29" s="152"/>
      <c r="T29" s="155" t="s">
        <v>57</v>
      </c>
      <c r="U29" s="155">
        <f>IF(E32="(inch)",F32*U37*G32*U37*H32*U37,F32*G32*H32)</f>
        <v>0</v>
      </c>
      <c r="V29" s="155"/>
      <c r="W29" s="155"/>
      <c r="X29" s="155"/>
      <c r="Y29" s="155"/>
      <c r="Z29" s="152" t="s">
        <v>59</v>
      </c>
      <c r="AA29" s="152">
        <v>284</v>
      </c>
      <c r="AB29" s="155">
        <f>AA29*AA30</f>
        <v>28116</v>
      </c>
      <c r="AC29" s="152"/>
      <c r="AD29" s="152"/>
      <c r="AE29" s="152"/>
      <c r="AF29" s="152"/>
      <c r="AG29" s="152"/>
      <c r="AH29" s="153"/>
      <c r="AI29" s="153"/>
      <c r="AJ29" s="153"/>
      <c r="AK29" s="153"/>
      <c r="AL29" s="153"/>
      <c r="AM29" s="153"/>
      <c r="AN29" s="153"/>
      <c r="AO29" s="153"/>
      <c r="AP29" s="153"/>
      <c r="AQ29" s="153"/>
      <c r="AR29" s="153"/>
      <c r="AS29" s="153"/>
      <c r="AT29" s="153"/>
      <c r="AU29" s="153"/>
      <c r="AV29" s="153"/>
      <c r="AW29" s="153"/>
      <c r="AX29" s="153"/>
      <c r="AY29" s="153"/>
    </row>
    <row r="30" spans="2:51" ht="15" customHeight="1" thickBot="1" x14ac:dyDescent="0.25">
      <c r="B30" s="471"/>
      <c r="C30" s="280"/>
      <c r="D30" s="281"/>
      <c r="E30" s="403"/>
      <c r="F30" s="380"/>
      <c r="G30" s="380"/>
      <c r="H30" s="381"/>
      <c r="I30" s="262"/>
      <c r="J30" s="139"/>
      <c r="K30" s="35">
        <f>IF(K27=0,"",K29+1)</f>
        <v>2021</v>
      </c>
      <c r="L30" s="139"/>
      <c r="M30" s="35">
        <f>IF(K27=0,"",M29+1)</f>
        <v>2025</v>
      </c>
      <c r="N30" s="33"/>
      <c r="O30" s="153"/>
      <c r="P30" s="153"/>
      <c r="Q30" s="153"/>
      <c r="R30" s="153"/>
      <c r="S30" s="152"/>
      <c r="T30" s="155">
        <v>2350</v>
      </c>
      <c r="U30" s="155"/>
      <c r="V30" s="155">
        <v>2350</v>
      </c>
      <c r="W30" s="155"/>
      <c r="X30" s="155">
        <v>2500</v>
      </c>
      <c r="Y30" s="155"/>
      <c r="Z30" s="152" t="s">
        <v>54</v>
      </c>
      <c r="AA30" s="152">
        <v>99</v>
      </c>
      <c r="AB30" s="156" t="e">
        <f>ROUNDDOWN(AB28/IF(E32="(inch)",(F32*G32),(F32/U37)*(G32/U37)),0)</f>
        <v>#DIV/0!</v>
      </c>
      <c r="AC30" s="152"/>
      <c r="AD30" s="152"/>
      <c r="AE30" s="152"/>
      <c r="AF30" s="152"/>
      <c r="AG30" s="152"/>
      <c r="AH30" s="153"/>
      <c r="AI30" s="153"/>
      <c r="AJ30" s="153"/>
      <c r="AK30" s="153"/>
      <c r="AL30" s="153"/>
      <c r="AM30" s="153"/>
      <c r="AN30" s="153"/>
      <c r="AO30" s="153"/>
      <c r="AP30" s="153"/>
      <c r="AQ30" s="153"/>
      <c r="AR30" s="153"/>
      <c r="AS30" s="153"/>
      <c r="AT30" s="153"/>
      <c r="AU30" s="153"/>
      <c r="AV30" s="153"/>
      <c r="AW30" s="153"/>
      <c r="AX30" s="153"/>
      <c r="AY30" s="153"/>
    </row>
    <row r="31" spans="2:51" ht="25.5" customHeight="1" thickBot="1" x14ac:dyDescent="0.25">
      <c r="O31" s="153"/>
      <c r="P31" s="153"/>
      <c r="Q31" s="153"/>
      <c r="R31" s="153"/>
      <c r="S31" s="152"/>
      <c r="T31" s="155">
        <v>2392</v>
      </c>
      <c r="U31" s="155"/>
      <c r="V31" s="155">
        <v>2392</v>
      </c>
      <c r="W31" s="155"/>
      <c r="X31" s="155">
        <v>2720</v>
      </c>
      <c r="Y31" s="155"/>
      <c r="Z31" s="152" t="s">
        <v>55</v>
      </c>
      <c r="AA31" s="152">
        <v>108.5</v>
      </c>
      <c r="AB31" s="152" t="e">
        <f>ROUNDDOWN(AB29/IF(E32="(inch)",(F32*G32),(F32/U37)*(G32/U37)),0)</f>
        <v>#DIV/0!</v>
      </c>
      <c r="AC31" s="152"/>
      <c r="AD31" s="152"/>
      <c r="AE31" s="152"/>
      <c r="AF31" s="152"/>
      <c r="AG31" s="152"/>
      <c r="AH31" s="153"/>
      <c r="AI31" s="153"/>
      <c r="AJ31" s="153"/>
      <c r="AK31" s="153"/>
      <c r="AL31" s="153"/>
      <c r="AM31" s="153"/>
      <c r="AN31" s="153"/>
      <c r="AO31" s="153"/>
      <c r="AP31" s="153"/>
      <c r="AQ31" s="153"/>
      <c r="AR31" s="153"/>
      <c r="AS31" s="153"/>
      <c r="AT31" s="153"/>
      <c r="AU31" s="153"/>
      <c r="AV31" s="153"/>
      <c r="AW31" s="153"/>
      <c r="AX31" s="153"/>
      <c r="AY31" s="153"/>
    </row>
    <row r="32" spans="2:51" ht="15.75" customHeight="1" x14ac:dyDescent="0.2">
      <c r="B32" s="304" t="str">
        <f>IF($K$5="Deutsch","Verpackungsdatenblatt",IF($K$5="English","Packaging Data Sheet",IF($K$5="Français","Données d'emballage",IF($K$5="Portugues","Dados da embalagem",IF($K$5="中文","包装数据",IF($K$5="हिन्दी","डाटा शीट पैकेजिंग",))))))</f>
        <v>Packaging Data Sheet</v>
      </c>
      <c r="C32" s="306" t="str">
        <f>IF($K$5="Deutsch","Aussenmasse BEFÜLLT:",IF($K$5="English","Ext. dimensions FILLED:",IF($K$5="Français","Ext. dimensions UM PLEIN:",IF($K$5="Portugues","Dim. exteriores CHEIO:",IF($K$5="中文","装满的包装外部尺寸:",IF($K$5="हिन्दी","बाहरी आयाम भरा:"))))))</f>
        <v>Ext. dimensions FILLED:</v>
      </c>
      <c r="D32" s="307"/>
      <c r="E32" s="131"/>
      <c r="F32" s="134"/>
      <c r="G32" s="134"/>
      <c r="H32" s="135"/>
      <c r="I32" s="89" t="str">
        <f>IF($K$5="Deutsch","Volumen BEFÜLLT (m³):",IF($K$5="English","Volume FILLED (m³):",IF($K$5="Français","Volume PLEIN (m³):",IF($K$5="Portugues","Volume CHEIO (m³):",IF($K$5="中文","体积 （装满）：")))))</f>
        <v>Volume FILLED (m³):</v>
      </c>
      <c r="J32" s="6" t="str">
        <f>IF($F$32="","",(F32/1000)*(G32/1000)*(H32/1000))</f>
        <v/>
      </c>
      <c r="K32" s="432" t="str">
        <f>IF($K$5="Deutsch","Füllmenge/Ladeeinheit:",IF($K$5="English","Filling qty / Handling Unit:",IF($K$5="Français","Pièce/Unité d'emballage:",IF($K$5="Portugues","Peças/Embalagem (Opcional):",IF($K$5="中文","零件数量/包装单元：")))))</f>
        <v>Filling qty / Handling Unit:</v>
      </c>
      <c r="L32" s="433"/>
      <c r="M32" s="404"/>
      <c r="N32" s="405"/>
      <c r="O32" s="153"/>
      <c r="P32" s="153"/>
      <c r="Q32" s="153"/>
      <c r="R32" s="153"/>
      <c r="S32" s="152"/>
      <c r="T32" s="155"/>
      <c r="U32" s="155" t="e">
        <f>ROUNDDOWN(U28/$U$29,0)</f>
        <v>#DIV/0!</v>
      </c>
      <c r="V32" s="155"/>
      <c r="W32" s="155" t="e">
        <f>ROUNDDOWN(W28/$U$29,0)</f>
        <v>#DIV/0!</v>
      </c>
      <c r="X32" s="155"/>
      <c r="Y32" s="155" t="e">
        <f>ROUNDDOWN(Y28/$U$29,0)</f>
        <v>#DIV/0!</v>
      </c>
      <c r="Z32" s="152"/>
      <c r="AA32" s="152"/>
      <c r="AB32" s="155" t="e">
        <f>AB30+AB31</f>
        <v>#DIV/0!</v>
      </c>
      <c r="AC32" s="152"/>
      <c r="AD32" s="152"/>
      <c r="AE32" s="152"/>
      <c r="AF32" s="152"/>
      <c r="AG32" s="152"/>
      <c r="AH32" s="153"/>
      <c r="AI32" s="153"/>
      <c r="AJ32" s="153"/>
      <c r="AK32" s="153"/>
      <c r="AL32" s="153"/>
      <c r="AM32" s="153"/>
      <c r="AN32" s="153"/>
      <c r="AO32" s="153"/>
      <c r="AP32" s="153"/>
      <c r="AQ32" s="153"/>
      <c r="AR32" s="153"/>
      <c r="AS32" s="153"/>
      <c r="AT32" s="153"/>
      <c r="AU32" s="153"/>
      <c r="AV32" s="153"/>
      <c r="AW32" s="153"/>
      <c r="AX32" s="153"/>
      <c r="AY32" s="153"/>
    </row>
    <row r="33" spans="2:51" ht="15.75" customHeight="1" thickBot="1" x14ac:dyDescent="0.25">
      <c r="B33" s="305"/>
      <c r="C33" s="311" t="str">
        <f>IF($K$5="Deutsch","Aussenmasse LEER:",IF($K$5="English","Ext. dimensions EMPTY:",IF($K$5="Français","Ext. dimensions UM VIDE:",IF($K$5="Portugues","Dim. exteriores VAZIO:",IF($K$5="中文","空包装的外部尺寸:",IF($K$5="हिन्दी","बाहरी आयाम खाली:"))))))</f>
        <v>Ext. dimensions EMPTY:</v>
      </c>
      <c r="D33" s="312"/>
      <c r="E33" s="132"/>
      <c r="F33" s="136"/>
      <c r="G33" s="136"/>
      <c r="H33" s="137"/>
      <c r="I33" s="90" t="str">
        <f>IF($K$5="Deutsch","Volumen LEER (m³):",IF($K$5="English","Volume EMPTY (m³):",IF($K$5="Français","Volume PLEIN (m³):",IF($K$5="Portugues","Volume VAZIO (m³):",IF($K$5="中文","体积 （空）：")))))</f>
        <v>Volume EMPTY (m³):</v>
      </c>
      <c r="J33" s="7" t="str">
        <f>IF($F$32="","",(F33/1000)*(G33/1000)*(H33/1000))</f>
        <v/>
      </c>
      <c r="K33" s="388" t="str">
        <f>IF($K$5="Deutsch","Füllmenge (Packstk./Box):",IF($K$5="English","Filling qty (Container/Box):",IF($K$5="Français","Pièce/Unité de manutention:",IF($K$5="Portugues","Quantidade de enchimento (Container/Box):",IF($K$5="中文","零件数量/箱：")))))</f>
        <v>Filling qty (Container/Box):</v>
      </c>
      <c r="L33" s="389"/>
      <c r="M33" s="406"/>
      <c r="N33" s="407"/>
      <c r="O33" s="153"/>
      <c r="P33" s="153"/>
      <c r="Q33" s="153"/>
      <c r="R33" s="153"/>
      <c r="S33" s="152"/>
      <c r="T33" s="155"/>
      <c r="U33" s="155"/>
      <c r="V33" s="152"/>
      <c r="W33" s="155"/>
      <c r="X33" s="155"/>
      <c r="Y33" s="155"/>
      <c r="Z33" s="152" t="s">
        <v>60</v>
      </c>
      <c r="AA33" s="152">
        <v>12200</v>
      </c>
      <c r="AB33" s="155" t="e">
        <f>ROUNDDOWN(AA33/$C$49,0)</f>
        <v>#VALUE!</v>
      </c>
      <c r="AC33" s="152"/>
      <c r="AD33" s="152"/>
      <c r="AE33" s="152"/>
      <c r="AF33" s="152"/>
      <c r="AG33" s="152"/>
      <c r="AH33" s="153"/>
      <c r="AI33" s="153"/>
      <c r="AJ33" s="153"/>
      <c r="AK33" s="153"/>
      <c r="AL33" s="153"/>
      <c r="AM33" s="153"/>
      <c r="AN33" s="153"/>
      <c r="AO33" s="153"/>
      <c r="AP33" s="153"/>
      <c r="AQ33" s="153"/>
      <c r="AR33" s="153"/>
      <c r="AS33" s="153"/>
      <c r="AT33" s="153"/>
      <c r="AU33" s="153"/>
      <c r="AV33" s="153"/>
      <c r="AW33" s="153"/>
      <c r="AX33" s="153"/>
      <c r="AY33" s="153"/>
    </row>
    <row r="34" spans="2:51" ht="16.5" customHeight="1" x14ac:dyDescent="0.2">
      <c r="B34" s="422" t="str">
        <f>IF($K$5="Deutsch","Bezeichnung                      Verpackungsbestandteile:",IF($K$5="English","Designation/description           packaging components:",IF($K$5="Français","Désignation composition de lèmballage",IF($K$5="Portugues","Descrição composição da embalagem:",IF($K$5="中文","包装材料名称或描述",IF($K$5="हिन्दी","नाम पैकेजिंग घटकों:"))))))</f>
        <v>Designation/description           packaging components:</v>
      </c>
      <c r="C34" s="12" t="str">
        <f>IF($K$5="Deutsch","Gewicht:",IF($K$5="English","Weight:",IF($K$5="Français","Poids:",IF($K$5="Portugues","Peso:",IF($K$5="中文","重量",IF($K$5="हिन्दी","वजन:"))))))</f>
        <v>Weight:</v>
      </c>
      <c r="D34" s="321" t="str">
        <f>IF($K$5="Deutsch","1=Einweg     2=Mehrweg",IF($K$5="English","1= OneWay 2=Returnable",IF($K$5="Français","1 =Perdus  2=Réutilis:",IF($K$5="Portugues","1= Descartável 2=Retornavel",IF($K$5="中文","1=不可回收 2=可回收")))))</f>
        <v>1= OneWay 2=Returnable</v>
      </c>
      <c r="E34" s="434" t="str">
        <f>IF($K$5="Deutsch","Ref. Nummer",IF($K$5="English","Ref. Number",IF($K$5="Français","Référence",IF($K$5="Portugues","Nr. de referência",IF($K$5="中文","参考号",IF($K$5="हिन्दी","संदर्भ संख्या:"))))))</f>
        <v>Ref. Number</v>
      </c>
      <c r="F34" s="308" t="str">
        <f>IF($K$5="Deutsch","Abmessungen (mm / inch)",IF($K$5="English","Dimensions (mm / inch)",IF($K$5="Français","Dimensions (mm / inch)",IF($K$5="Portugues","Medida (mm / inch)",IF($K$5="中文","尺寸 （mm / inch）",IF($K$5="हिन्दी","आयाम (मिमी / इंच):"))))))</f>
        <v>Dimensions (mm / inch)</v>
      </c>
      <c r="G34" s="309"/>
      <c r="H34" s="310"/>
      <c r="I34" s="390" t="str">
        <f>IF($K$5="Deutsch","Verpackungslieferant",IF($K$5="English","Packaging supplier",IF($K$5="Français","Fournissuer dèmballage",IF($K$5="Portugues","Fornecedor da embalagem",IF($K$5="中文","包装材料供应商")))))</f>
        <v>Packaging supplier</v>
      </c>
      <c r="J34" s="391"/>
      <c r="K34" s="434" t="str">
        <f>IF($K$5="Deutsch","Anzahl / LE",IF($K$5="English","Number / HU",IF($K$5="Français","Nombre / UM",IF($K$5="Portugues","Quantidade/UT",IF($K$5="中文","使用数量/包装单元")))))</f>
        <v>Number / HU</v>
      </c>
      <c r="L34" s="13" t="str">
        <f>IF($K$5="Deutsch","Taragewicht",IF($K$5="English","Tare weight",IF($K$5="Français","Poids tare:",IF($K$5="Portugues","Peso de Tara",IF($K$5="中文","皮重/包装单元")))))</f>
        <v>Tare weight</v>
      </c>
      <c r="M34" s="14" t="str">
        <f>IF($K$5="Deutsch","Währung",IF($K$5="English","Currency",IF($K$5="Français","Devise:",IF($K$5="Portugues","Mercadoria",IF($K$5="中文","币种")))))</f>
        <v>Currency</v>
      </c>
      <c r="N34" s="141"/>
      <c r="O34" s="153"/>
      <c r="P34" s="153"/>
      <c r="Q34" s="153"/>
      <c r="R34" s="153"/>
      <c r="S34" s="152"/>
      <c r="T34" s="152"/>
      <c r="U34" s="155"/>
      <c r="V34" s="155"/>
      <c r="W34" s="155"/>
      <c r="X34" s="155"/>
      <c r="Y34" s="155"/>
      <c r="Z34" s="152" t="s">
        <v>61</v>
      </c>
      <c r="AA34" s="152">
        <v>11300</v>
      </c>
      <c r="AB34" s="155" t="e">
        <f>ROUNDDOWN(AA34/$C$49,0)</f>
        <v>#VALUE!</v>
      </c>
      <c r="AC34" s="152"/>
      <c r="AD34" s="152"/>
      <c r="AE34" s="152"/>
      <c r="AF34" s="152"/>
      <c r="AG34" s="152"/>
      <c r="AH34" s="153"/>
      <c r="AI34" s="153"/>
      <c r="AJ34" s="153"/>
      <c r="AK34" s="153"/>
      <c r="AL34" s="153"/>
      <c r="AM34" s="153"/>
      <c r="AN34" s="153"/>
      <c r="AO34" s="153"/>
      <c r="AP34" s="153"/>
      <c r="AQ34" s="153"/>
      <c r="AR34" s="153"/>
      <c r="AS34" s="153"/>
      <c r="AT34" s="153"/>
      <c r="AU34" s="153"/>
      <c r="AV34" s="153"/>
      <c r="AW34" s="153"/>
      <c r="AX34" s="153"/>
      <c r="AY34" s="153"/>
    </row>
    <row r="35" spans="2:51" ht="15" customHeight="1" x14ac:dyDescent="0.2">
      <c r="B35" s="423"/>
      <c r="C35" s="15"/>
      <c r="D35" s="322"/>
      <c r="E35" s="435"/>
      <c r="F35" s="16" t="str">
        <f>IF($K$5="Deutsch","L",IF($K$5="English","L",IF($K$5="Français","L",IF($K$5="Portugues","Comp.",IF($K$5="中文","长")))))</f>
        <v>L</v>
      </c>
      <c r="G35" s="16" t="str">
        <f>IF($K$5="Deutsch","B",IF($K$5="English","W",IF($K$5="Français","P",IF($K$5="Portugues","Larg.",IF($K$5="中文","宽")))))</f>
        <v>W</v>
      </c>
      <c r="H35" s="16" t="str">
        <f>IF($K$5="Deutsch","H",IF($K$5="English","H",IF($K$5="Français","H",IF($K$5="Portugues","Alt.",IF($K$5="中文","高")))))</f>
        <v>H</v>
      </c>
      <c r="I35" s="392"/>
      <c r="J35" s="393"/>
      <c r="K35" s="435"/>
      <c r="L35" s="130"/>
      <c r="M35" s="16" t="str">
        <f>IF($K$5="Deutsch","Preis/Stück",IF($K$5="English","Price/pcs",IF($K$5="Français","Prix/pièce:",IF($K$5="Portugues","Preço/peça",IF($K$5="中文","价格/件")))))</f>
        <v>Price/pcs</v>
      </c>
      <c r="N35" s="17" t="str">
        <f>IF($K$5="Deutsch","Preis/LE",IF($K$5="English","Price/HU",IF($K$5="Français","Pris/UM",IF($K$5="Portugues","Preço/UT",IF($K$5="中文","价格/包装单元")))))</f>
        <v>Price/HU</v>
      </c>
      <c r="O35" s="153"/>
      <c r="P35" s="153"/>
      <c r="Q35" s="153"/>
      <c r="R35" s="153"/>
      <c r="S35" s="152"/>
      <c r="T35" s="155">
        <f>IF(B6="ThyssenKrupp Presta Danville LLC",19900,24000)</f>
        <v>24000</v>
      </c>
      <c r="U35" s="155" t="e">
        <f>ROUNDDOWN(T35/$C$49,0)</f>
        <v>#VALUE!</v>
      </c>
      <c r="V35" s="155">
        <f>IF(B6="ThyssenKrupp Presta Danville LLC",19900,24000)</f>
        <v>24000</v>
      </c>
      <c r="W35" s="155" t="e">
        <f>ROUNDDOWN(V35/$C$49,0)</f>
        <v>#VALUE!</v>
      </c>
      <c r="X35" s="155">
        <v>24000</v>
      </c>
      <c r="Y35" s="155" t="e">
        <f>ROUNDDOWN(X35/$C$49,0)</f>
        <v>#VALUE!</v>
      </c>
      <c r="Z35" s="152"/>
      <c r="AA35" s="152"/>
      <c r="AB35" s="155" t="e">
        <f>AB33+AB34</f>
        <v>#VALUE!</v>
      </c>
      <c r="AC35" s="152"/>
      <c r="AD35" s="152"/>
      <c r="AE35" s="152"/>
      <c r="AF35" s="152"/>
      <c r="AG35" s="152"/>
      <c r="AH35" s="153"/>
      <c r="AI35" s="153"/>
      <c r="AJ35" s="153"/>
      <c r="AK35" s="153"/>
      <c r="AL35" s="153"/>
      <c r="AM35" s="153"/>
      <c r="AN35" s="153"/>
      <c r="AO35" s="153"/>
      <c r="AP35" s="153"/>
      <c r="AQ35" s="153"/>
      <c r="AR35" s="153"/>
      <c r="AS35" s="153"/>
      <c r="AT35" s="153"/>
      <c r="AU35" s="153"/>
      <c r="AV35" s="153"/>
      <c r="AW35" s="153"/>
      <c r="AX35" s="153"/>
      <c r="AY35" s="153"/>
    </row>
    <row r="36" spans="2:51" ht="30" customHeight="1" x14ac:dyDescent="0.2">
      <c r="B36" s="116"/>
      <c r="C36" s="120"/>
      <c r="D36" s="118"/>
      <c r="E36" s="118"/>
      <c r="F36" s="119"/>
      <c r="G36" s="119"/>
      <c r="H36" s="119"/>
      <c r="I36" s="258"/>
      <c r="J36" s="259"/>
      <c r="K36" s="118"/>
      <c r="L36" s="18" t="str">
        <f t="shared" ref="L36:L41" si="0">IF($K36="","",IF(K36=0,0,$K36*$C36))</f>
        <v/>
      </c>
      <c r="M36" s="120"/>
      <c r="N36" s="19" t="str">
        <f>IF($M36="","",IF(M36=0,0,$K36*$M36))</f>
        <v/>
      </c>
      <c r="O36" s="153"/>
      <c r="P36" s="153"/>
      <c r="Q36" s="153"/>
      <c r="R36" s="153"/>
      <c r="S36" s="152"/>
      <c r="T36" s="152"/>
      <c r="U36" s="155" t="e">
        <f>MIN(U32,U35)</f>
        <v>#DIV/0!</v>
      </c>
      <c r="V36" s="152"/>
      <c r="W36" s="155" t="e">
        <f>MIN(W32,W35)</f>
        <v>#DIV/0!</v>
      </c>
      <c r="X36" s="155"/>
      <c r="Y36" s="155" t="e">
        <f>MIN(Y32,Y35)</f>
        <v>#DIV/0!</v>
      </c>
      <c r="Z36" s="152"/>
      <c r="AA36" s="152"/>
      <c r="AB36" s="155" t="e">
        <f>MIN(AB32,AB35)</f>
        <v>#DIV/0!</v>
      </c>
      <c r="AC36" s="152"/>
      <c r="AD36" s="152"/>
      <c r="AE36" s="152"/>
      <c r="AF36" s="152"/>
      <c r="AG36" s="152"/>
      <c r="AH36" s="153"/>
      <c r="AI36" s="153"/>
      <c r="AJ36" s="153"/>
      <c r="AK36" s="153"/>
      <c r="AL36" s="153"/>
      <c r="AM36" s="153"/>
      <c r="AN36" s="153"/>
      <c r="AO36" s="153"/>
      <c r="AP36" s="153"/>
      <c r="AQ36" s="153"/>
      <c r="AR36" s="153"/>
      <c r="AS36" s="153"/>
      <c r="AT36" s="153"/>
      <c r="AU36" s="153"/>
      <c r="AV36" s="153"/>
      <c r="AW36" s="153"/>
      <c r="AX36" s="153"/>
      <c r="AY36" s="153"/>
    </row>
    <row r="37" spans="2:51" ht="30" customHeight="1" x14ac:dyDescent="0.2">
      <c r="B37" s="116"/>
      <c r="C37" s="120"/>
      <c r="D37" s="118"/>
      <c r="E37" s="118"/>
      <c r="F37" s="119"/>
      <c r="G37" s="119"/>
      <c r="H37" s="119"/>
      <c r="I37" s="258"/>
      <c r="J37" s="259"/>
      <c r="K37" s="118"/>
      <c r="L37" s="18" t="str">
        <f t="shared" si="0"/>
        <v/>
      </c>
      <c r="M37" s="120"/>
      <c r="N37" s="19" t="str">
        <f t="shared" ref="N37:N45" si="1">IF($M37="","",IF(M37=0,0,$K37*$M37))</f>
        <v/>
      </c>
      <c r="O37" s="153"/>
      <c r="P37" s="153"/>
      <c r="Q37" s="153"/>
      <c r="R37" s="153"/>
      <c r="S37" s="152"/>
      <c r="T37" s="152" t="s">
        <v>56</v>
      </c>
      <c r="U37" s="152">
        <v>25.4</v>
      </c>
      <c r="V37" s="152"/>
      <c r="W37" s="152"/>
      <c r="X37" s="152"/>
      <c r="Y37" s="152"/>
      <c r="Z37" s="152"/>
      <c r="AA37" s="152"/>
      <c r="AB37" s="152"/>
      <c r="AC37" s="152"/>
      <c r="AD37" s="152"/>
      <c r="AE37" s="152"/>
      <c r="AF37" s="152"/>
      <c r="AG37" s="152"/>
      <c r="AH37" s="153"/>
      <c r="AI37" s="153"/>
      <c r="AJ37" s="153"/>
      <c r="AK37" s="153"/>
      <c r="AL37" s="153"/>
      <c r="AM37" s="153"/>
      <c r="AN37" s="153"/>
      <c r="AO37" s="153"/>
      <c r="AP37" s="153"/>
      <c r="AQ37" s="153"/>
      <c r="AR37" s="153"/>
      <c r="AS37" s="153"/>
      <c r="AT37" s="153"/>
      <c r="AU37" s="153"/>
      <c r="AV37" s="153"/>
      <c r="AW37" s="153"/>
      <c r="AX37" s="153"/>
      <c r="AY37" s="153"/>
    </row>
    <row r="38" spans="2:51" ht="30" customHeight="1" x14ac:dyDescent="0.2">
      <c r="B38" s="116"/>
      <c r="C38" s="120"/>
      <c r="D38" s="118"/>
      <c r="E38" s="118"/>
      <c r="F38" s="119"/>
      <c r="G38" s="119"/>
      <c r="H38" s="119"/>
      <c r="I38" s="258"/>
      <c r="J38" s="259"/>
      <c r="K38" s="118"/>
      <c r="L38" s="18" t="str">
        <f t="shared" si="0"/>
        <v/>
      </c>
      <c r="M38" s="120"/>
      <c r="N38" s="19" t="str">
        <f t="shared" si="1"/>
        <v/>
      </c>
      <c r="O38" s="153"/>
      <c r="P38" s="153"/>
      <c r="Q38" s="153"/>
      <c r="R38" s="153"/>
      <c r="S38" s="152"/>
      <c r="T38" s="152"/>
      <c r="U38" s="152"/>
      <c r="V38" s="152"/>
      <c r="W38" s="152"/>
      <c r="X38" s="152"/>
      <c r="Y38" s="152"/>
      <c r="Z38" s="152"/>
      <c r="AA38" s="152"/>
      <c r="AB38" s="152"/>
      <c r="AC38" s="152"/>
      <c r="AD38" s="152"/>
      <c r="AE38" s="152"/>
      <c r="AF38" s="152"/>
      <c r="AG38" s="152"/>
      <c r="AH38" s="153"/>
      <c r="AI38" s="153"/>
      <c r="AJ38" s="153"/>
      <c r="AK38" s="153"/>
      <c r="AL38" s="153"/>
      <c r="AM38" s="153"/>
      <c r="AN38" s="153"/>
      <c r="AO38" s="153"/>
      <c r="AP38" s="153"/>
      <c r="AQ38" s="153"/>
      <c r="AR38" s="153"/>
      <c r="AS38" s="153"/>
      <c r="AT38" s="153"/>
      <c r="AU38" s="153"/>
      <c r="AV38" s="153"/>
      <c r="AW38" s="153"/>
      <c r="AX38" s="153"/>
      <c r="AY38" s="153"/>
    </row>
    <row r="39" spans="2:51" ht="30" customHeight="1" x14ac:dyDescent="0.2">
      <c r="B39" s="116"/>
      <c r="C39" s="120"/>
      <c r="D39" s="118"/>
      <c r="E39" s="118"/>
      <c r="F39" s="133"/>
      <c r="G39" s="119"/>
      <c r="H39" s="119"/>
      <c r="I39" s="258"/>
      <c r="J39" s="259"/>
      <c r="K39" s="118"/>
      <c r="L39" s="18" t="str">
        <f t="shared" si="0"/>
        <v/>
      </c>
      <c r="M39" s="120"/>
      <c r="N39" s="19" t="str">
        <f t="shared" si="1"/>
        <v/>
      </c>
      <c r="O39" s="153"/>
      <c r="P39" s="153"/>
      <c r="Q39" s="153"/>
      <c r="R39" s="153"/>
      <c r="S39" s="153"/>
      <c r="T39" s="153"/>
      <c r="U39" s="153"/>
      <c r="V39" s="153"/>
      <c r="W39" s="153"/>
      <c r="X39" s="153"/>
      <c r="Y39" s="153"/>
      <c r="Z39" s="153"/>
      <c r="AA39" s="153"/>
      <c r="AB39" s="153"/>
      <c r="AC39" s="153"/>
      <c r="AD39" s="153"/>
      <c r="AE39" s="153"/>
      <c r="AF39" s="153"/>
      <c r="AG39" s="153"/>
      <c r="AH39" s="153"/>
      <c r="AI39" s="153"/>
      <c r="AJ39" s="153"/>
      <c r="AK39" s="153"/>
      <c r="AL39" s="153"/>
      <c r="AM39" s="153"/>
      <c r="AN39" s="153"/>
      <c r="AO39" s="153"/>
      <c r="AP39" s="153"/>
      <c r="AQ39" s="153"/>
      <c r="AR39" s="153"/>
      <c r="AS39" s="153"/>
      <c r="AT39" s="153"/>
      <c r="AU39" s="153"/>
      <c r="AV39" s="153"/>
      <c r="AW39" s="153"/>
      <c r="AX39" s="153"/>
      <c r="AY39" s="153"/>
    </row>
    <row r="40" spans="2:51" ht="30" customHeight="1" x14ac:dyDescent="0.2">
      <c r="B40" s="116"/>
      <c r="C40" s="117"/>
      <c r="D40" s="118"/>
      <c r="E40" s="118"/>
      <c r="F40" s="133"/>
      <c r="G40" s="119"/>
      <c r="H40" s="119"/>
      <c r="I40" s="258"/>
      <c r="J40" s="259"/>
      <c r="K40" s="118"/>
      <c r="L40" s="18" t="str">
        <f t="shared" si="0"/>
        <v/>
      </c>
      <c r="M40" s="120"/>
      <c r="N40" s="19" t="str">
        <f t="shared" si="1"/>
        <v/>
      </c>
      <c r="O40" s="153"/>
      <c r="P40" s="153"/>
      <c r="Q40" s="153"/>
      <c r="R40" s="153"/>
      <c r="S40" s="153"/>
      <c r="T40" s="153">
        <f>B6</f>
        <v>0</v>
      </c>
      <c r="U40" s="153"/>
      <c r="V40" s="153"/>
      <c r="W40" s="153"/>
      <c r="X40" s="153"/>
      <c r="Y40" s="153"/>
      <c r="Z40" s="153"/>
      <c r="AA40" s="153"/>
      <c r="AB40" s="153"/>
      <c r="AC40" s="153"/>
      <c r="AD40" s="153"/>
      <c r="AE40" s="153"/>
      <c r="AF40" s="153"/>
      <c r="AG40" s="153"/>
      <c r="AH40" s="153"/>
      <c r="AI40" s="153"/>
      <c r="AJ40" s="153"/>
      <c r="AK40" s="153"/>
      <c r="AL40" s="153"/>
      <c r="AM40" s="153"/>
      <c r="AN40" s="153"/>
      <c r="AO40" s="153"/>
      <c r="AP40" s="153"/>
      <c r="AQ40" s="153"/>
      <c r="AR40" s="153"/>
      <c r="AS40" s="153"/>
      <c r="AT40" s="153"/>
      <c r="AU40" s="153"/>
      <c r="AV40" s="153"/>
      <c r="AW40" s="153"/>
      <c r="AX40" s="153"/>
      <c r="AY40" s="153"/>
    </row>
    <row r="41" spans="2:51" ht="30" customHeight="1" x14ac:dyDescent="0.2">
      <c r="B41" s="116"/>
      <c r="C41" s="120"/>
      <c r="D41" s="118"/>
      <c r="E41" s="118"/>
      <c r="F41" s="133"/>
      <c r="G41" s="119"/>
      <c r="H41" s="119"/>
      <c r="I41" s="258"/>
      <c r="J41" s="259"/>
      <c r="K41" s="118"/>
      <c r="L41" s="18" t="str">
        <f t="shared" si="0"/>
        <v/>
      </c>
      <c r="M41" s="120"/>
      <c r="N41" s="19" t="str">
        <f t="shared" si="1"/>
        <v/>
      </c>
      <c r="O41" s="153"/>
      <c r="P41" s="153"/>
      <c r="Q41" s="153"/>
      <c r="R41" s="153"/>
      <c r="S41" s="153"/>
      <c r="T41" s="153" t="s">
        <v>5</v>
      </c>
      <c r="U41" s="153"/>
      <c r="V41" s="153"/>
      <c r="W41" s="153" t="s">
        <v>6</v>
      </c>
      <c r="X41" s="153"/>
      <c r="Y41" s="153"/>
      <c r="Z41" s="153" t="s">
        <v>7</v>
      </c>
      <c r="AA41" s="153"/>
      <c r="AB41" s="153"/>
      <c r="AC41" s="153" t="s">
        <v>8</v>
      </c>
      <c r="AD41" s="153"/>
      <c r="AE41" s="153"/>
      <c r="AF41" s="153" t="s">
        <v>9</v>
      </c>
      <c r="AG41" s="153"/>
      <c r="AH41" s="153"/>
      <c r="AI41" s="153"/>
      <c r="AJ41" s="153"/>
      <c r="AK41" s="153" t="s">
        <v>65</v>
      </c>
      <c r="AL41" s="153"/>
      <c r="AM41" s="153"/>
      <c r="AN41" s="153" t="s">
        <v>69</v>
      </c>
      <c r="AO41" s="153"/>
      <c r="AP41" s="153"/>
      <c r="AQ41" s="153"/>
      <c r="AR41" s="153" t="s">
        <v>72</v>
      </c>
      <c r="AS41" s="153"/>
      <c r="AT41" s="153"/>
      <c r="AU41" s="153"/>
      <c r="AV41" s="153"/>
      <c r="AW41" s="153"/>
      <c r="AX41" s="153"/>
      <c r="AY41" s="153"/>
    </row>
    <row r="42" spans="2:51" ht="30" customHeight="1" x14ac:dyDescent="0.2">
      <c r="B42" s="116"/>
      <c r="C42" s="120"/>
      <c r="D42" s="118"/>
      <c r="E42" s="118"/>
      <c r="F42" s="133"/>
      <c r="G42" s="119"/>
      <c r="H42" s="119"/>
      <c r="I42" s="258"/>
      <c r="J42" s="259"/>
      <c r="K42" s="118"/>
      <c r="L42" s="18" t="str">
        <f t="shared" ref="L42:L45" si="2">IF($K42="","",IF(K42=0,0,$K42*$C42))</f>
        <v/>
      </c>
      <c r="M42" s="120"/>
      <c r="N42" s="19" t="str">
        <f t="shared" si="1"/>
        <v/>
      </c>
      <c r="O42" s="153"/>
      <c r="P42" s="153"/>
      <c r="Q42" s="153"/>
      <c r="R42" s="153"/>
      <c r="S42" s="153"/>
      <c r="T42" s="153" t="s">
        <v>18</v>
      </c>
      <c r="U42" s="153"/>
      <c r="V42" s="153"/>
      <c r="W42" s="153" t="s">
        <v>19</v>
      </c>
      <c r="X42" s="153"/>
      <c r="Y42" s="153"/>
      <c r="Z42" s="153" t="s">
        <v>20</v>
      </c>
      <c r="AA42" s="153"/>
      <c r="AB42" s="153"/>
      <c r="AC42" s="153" t="s">
        <v>21</v>
      </c>
      <c r="AD42" s="153"/>
      <c r="AE42" s="153"/>
      <c r="AF42" s="153" t="s">
        <v>22</v>
      </c>
      <c r="AG42" s="153"/>
      <c r="AH42" s="153"/>
      <c r="AI42" s="153"/>
      <c r="AJ42" s="153"/>
      <c r="AK42" s="153" t="s">
        <v>66</v>
      </c>
      <c r="AL42" s="153"/>
      <c r="AM42" s="153"/>
      <c r="AN42" s="153" t="s">
        <v>67</v>
      </c>
      <c r="AO42" s="153"/>
      <c r="AP42" s="153"/>
      <c r="AQ42" s="153"/>
      <c r="AR42" s="153" t="s">
        <v>73</v>
      </c>
      <c r="AS42" s="153"/>
      <c r="AT42" s="153"/>
      <c r="AU42" s="153"/>
      <c r="AV42" s="153"/>
      <c r="AW42" s="153"/>
      <c r="AX42" s="153"/>
      <c r="AY42" s="153"/>
    </row>
    <row r="43" spans="2:51" ht="30" customHeight="1" x14ac:dyDescent="0.2">
      <c r="B43" s="116"/>
      <c r="C43" s="120"/>
      <c r="D43" s="118"/>
      <c r="E43" s="118"/>
      <c r="F43" s="133"/>
      <c r="G43" s="119"/>
      <c r="H43" s="119"/>
      <c r="I43" s="258"/>
      <c r="J43" s="259"/>
      <c r="K43" s="118"/>
      <c r="L43" s="18" t="str">
        <f t="shared" si="2"/>
        <v/>
      </c>
      <c r="M43" s="120"/>
      <c r="N43" s="19" t="str">
        <f t="shared" si="1"/>
        <v/>
      </c>
      <c r="O43" s="153"/>
      <c r="P43" s="153"/>
      <c r="Q43" s="153"/>
      <c r="R43" s="153"/>
      <c r="S43" s="153"/>
      <c r="T43" s="153" t="s">
        <v>23</v>
      </c>
      <c r="U43" s="153"/>
      <c r="V43" s="153"/>
      <c r="W43" s="153" t="s">
        <v>24</v>
      </c>
      <c r="X43" s="153"/>
      <c r="Y43" s="153"/>
      <c r="Z43" s="153" t="s">
        <v>25</v>
      </c>
      <c r="AA43" s="153"/>
      <c r="AB43" s="153"/>
      <c r="AC43" s="153" t="s">
        <v>26</v>
      </c>
      <c r="AD43" s="153"/>
      <c r="AE43" s="153"/>
      <c r="AF43" s="153" t="s">
        <v>27</v>
      </c>
      <c r="AG43" s="153"/>
      <c r="AH43" s="153"/>
      <c r="AI43" s="153"/>
      <c r="AJ43" s="153"/>
      <c r="AK43" s="153" t="s">
        <v>24</v>
      </c>
      <c r="AL43" s="153"/>
      <c r="AM43" s="153"/>
      <c r="AN43" s="153" t="s">
        <v>68</v>
      </c>
      <c r="AO43" s="153"/>
      <c r="AP43" s="153"/>
      <c r="AQ43" s="153"/>
      <c r="AR43" s="153" t="s">
        <v>74</v>
      </c>
      <c r="AS43" s="153"/>
      <c r="AT43" s="153"/>
      <c r="AU43" s="153"/>
      <c r="AV43" s="153"/>
      <c r="AW43" s="153"/>
      <c r="AX43" s="153"/>
      <c r="AY43" s="153"/>
    </row>
    <row r="44" spans="2:51" ht="30" customHeight="1" x14ac:dyDescent="0.2">
      <c r="B44" s="116"/>
      <c r="C44" s="120"/>
      <c r="D44" s="118"/>
      <c r="E44" s="118"/>
      <c r="F44" s="133"/>
      <c r="G44" s="119"/>
      <c r="H44" s="119"/>
      <c r="I44" s="258"/>
      <c r="J44" s="259"/>
      <c r="K44" s="118"/>
      <c r="L44" s="18" t="str">
        <f t="shared" si="2"/>
        <v/>
      </c>
      <c r="M44" s="120"/>
      <c r="N44" s="19" t="str">
        <f t="shared" si="1"/>
        <v/>
      </c>
      <c r="O44" s="153"/>
      <c r="P44" s="153"/>
      <c r="Q44" s="153"/>
      <c r="R44" s="153"/>
      <c r="S44" s="153"/>
      <c r="T44" s="153" t="s">
        <v>47</v>
      </c>
      <c r="U44" s="153"/>
      <c r="V44" s="153"/>
      <c r="W44" s="153" t="s">
        <v>48</v>
      </c>
      <c r="X44" s="153"/>
      <c r="Y44" s="153"/>
      <c r="Z44" s="153" t="s">
        <v>48</v>
      </c>
      <c r="AA44" s="153"/>
      <c r="AB44" s="153"/>
      <c r="AC44" s="153" t="s">
        <v>28</v>
      </c>
      <c r="AD44" s="153"/>
      <c r="AE44" s="153"/>
      <c r="AF44" s="153" t="s">
        <v>49</v>
      </c>
      <c r="AG44" s="153"/>
      <c r="AH44" s="153"/>
      <c r="AI44" s="153"/>
      <c r="AJ44" s="153"/>
      <c r="AK44" s="153" t="s">
        <v>48</v>
      </c>
      <c r="AL44" s="153"/>
      <c r="AM44" s="153"/>
      <c r="AN44" s="153" t="s">
        <v>49</v>
      </c>
      <c r="AO44" s="153"/>
      <c r="AP44" s="153"/>
      <c r="AQ44" s="153"/>
      <c r="AR44" s="153" t="s">
        <v>70</v>
      </c>
      <c r="AS44" s="153"/>
      <c r="AT44" s="153"/>
      <c r="AU44" s="153"/>
      <c r="AV44" s="153"/>
      <c r="AW44" s="153"/>
      <c r="AX44" s="153"/>
      <c r="AY44" s="153"/>
    </row>
    <row r="45" spans="2:51" ht="30" customHeight="1" thickBot="1" x14ac:dyDescent="0.25">
      <c r="B45" s="121"/>
      <c r="C45" s="122"/>
      <c r="D45" s="123"/>
      <c r="E45" s="124"/>
      <c r="F45" s="133"/>
      <c r="G45" s="119"/>
      <c r="H45" s="119"/>
      <c r="I45" s="258"/>
      <c r="J45" s="259"/>
      <c r="K45" s="123"/>
      <c r="L45" s="18" t="str">
        <f t="shared" si="2"/>
        <v/>
      </c>
      <c r="M45" s="122"/>
      <c r="N45" s="19" t="str">
        <f t="shared" si="1"/>
        <v/>
      </c>
      <c r="O45" s="153"/>
      <c r="P45" s="153"/>
      <c r="Q45" s="153"/>
      <c r="R45" s="153"/>
      <c r="S45" s="153"/>
      <c r="T45" s="153"/>
      <c r="U45" s="152"/>
      <c r="V45" s="153"/>
      <c r="W45" s="153"/>
      <c r="X45" s="153"/>
      <c r="Y45" s="153"/>
      <c r="Z45" s="153"/>
      <c r="AA45" s="153"/>
      <c r="AB45" s="153"/>
      <c r="AC45" s="153"/>
      <c r="AD45" s="153"/>
      <c r="AE45" s="153"/>
      <c r="AF45" s="153"/>
      <c r="AG45" s="153"/>
      <c r="AH45" s="153"/>
      <c r="AI45" s="153"/>
      <c r="AJ45" s="153"/>
      <c r="AK45" s="153"/>
      <c r="AL45" s="153"/>
      <c r="AM45" s="153"/>
      <c r="AN45" s="153"/>
      <c r="AO45" s="153"/>
      <c r="AP45" s="153"/>
      <c r="AQ45" s="153"/>
      <c r="AR45" s="153"/>
      <c r="AS45" s="153"/>
      <c r="AT45" s="153"/>
      <c r="AU45" s="153"/>
      <c r="AV45" s="153"/>
      <c r="AW45" s="153"/>
      <c r="AX45" s="153"/>
      <c r="AY45" s="153"/>
    </row>
    <row r="46" spans="2:51" ht="20.100000000000001" customHeight="1" thickBot="1" x14ac:dyDescent="0.3">
      <c r="B46" s="302" t="str">
        <f>IF($K$5="Deutsch","Gewicht",IF($K$5="English","Weight",IF($K$5="Français","Poids",IF($K$5="Portugues","Peso",IF($K$5="中文","重量")))))</f>
        <v>Weight</v>
      </c>
      <c r="C46" s="303"/>
      <c r="D46" s="412" t="str">
        <f>IF($K$5="Deutsch","Transport",IF($K$5="English","Transport",IF($K$5="Français","Transport",IF($K$5="Portugues","Transporte",IF($K$5="中文","运输")))))</f>
        <v>Transport</v>
      </c>
      <c r="E46" s="413"/>
      <c r="F46" s="413"/>
      <c r="G46" s="413"/>
      <c r="H46" s="413"/>
      <c r="I46" s="414"/>
      <c r="J46" s="415" t="str">
        <f>IF($K$5="Deutsch","Verpackungskosten",IF($K$5="English","Packaging costs",IF($K$5="Français","Frais d'emballage",IF($K$5="Portugues","Custos de embalagem",IF($K$5="中文","包装成本")))))</f>
        <v>Packaging costs</v>
      </c>
      <c r="K46" s="415"/>
      <c r="L46" s="415"/>
      <c r="M46" s="415"/>
      <c r="N46" s="416"/>
      <c r="O46" s="153"/>
      <c r="P46" s="153"/>
      <c r="Q46" s="163"/>
      <c r="R46" s="153"/>
      <c r="S46" s="153"/>
      <c r="T46" s="358" t="s">
        <v>83</v>
      </c>
      <c r="U46" s="359"/>
      <c r="V46" s="359"/>
      <c r="W46" s="359"/>
      <c r="X46" s="359"/>
      <c r="Y46" s="153"/>
      <c r="Z46" s="153"/>
      <c r="AA46" s="153"/>
      <c r="AB46" s="153"/>
      <c r="AC46" s="153"/>
      <c r="AD46" s="153"/>
      <c r="AE46" s="153"/>
      <c r="AF46" s="153"/>
      <c r="AG46" s="153"/>
      <c r="AH46" s="153"/>
      <c r="AI46" s="153"/>
      <c r="AJ46" s="153"/>
      <c r="AK46" s="153"/>
      <c r="AL46" s="153"/>
      <c r="AM46" s="153"/>
      <c r="AN46" s="153"/>
      <c r="AO46" s="153"/>
      <c r="AP46" s="153"/>
      <c r="AQ46" s="153"/>
      <c r="AR46" s="153"/>
      <c r="AS46" s="153"/>
      <c r="AT46" s="153"/>
      <c r="AU46" s="153"/>
      <c r="AV46" s="153"/>
      <c r="AW46" s="153"/>
      <c r="AX46" s="153"/>
      <c r="AY46" s="153"/>
    </row>
    <row r="47" spans="2:51" x14ac:dyDescent="0.2">
      <c r="B47" s="59" t="str">
        <f>IF($K$5="Deutsch","Netto-Gewicht (kg/lb):",IF($K$5="English","Netto Weight (kg/lb):",IF($K$5="Français","Poids net (kg/lb):",IF($K$5="Portugues","Peso neto  (kg/lb):",IF($K$5="中文","净重（kg/lb）")))))</f>
        <v>Netto Weight (kg/lb):</v>
      </c>
      <c r="C47" s="20" t="str">
        <f>IF($J$24="","",IF($J$24="",0,($M$32*$J$24)))</f>
        <v/>
      </c>
      <c r="D47" s="424" t="str">
        <f>IF($K$5="Deutsch","Anzahl BEFÜLLTER Ladeeinheiten (LE) pro Transportmittel (stapelbar) :",IF($K$5="English","Amount of FILLED handling units per mode of transport (stackable):",IF($K$5="Français","Quantité d'unités de manut. remplies par mode de transport (empilés):",IF($K$5="Portugues","Quanidade pro meio de transporte (empil.):",IF($K$5="中文","标准运输方式可装载的数量 （pcs）""")))))</f>
        <v>Amount of FILLED handling units per mode of transport (stackable):</v>
      </c>
      <c r="E47" s="425"/>
      <c r="F47" s="430" t="str">
        <f>IF($K$5="Deutsch","pro 44 Tonnen LKW:",IF($K$5="English","per truck:",IF($K$5="Français","par camion de 44 to. :",IF($K$5="Portugues","por 44 ton caminhâo:",IF($K$5="中文","44吨卡车：")))))</f>
        <v>per truck:</v>
      </c>
      <c r="G47" s="431"/>
      <c r="H47" s="431"/>
      <c r="I47" s="63">
        <f>IF($M$32="",0,IF(B6="ThyssenKrupp Presta Danville LLC",AB36,Y36))</f>
        <v>0</v>
      </c>
      <c r="J47" s="410" t="str">
        <f>IF($K$5="Deutsch","Einweganteil / LE:",IF($K$5="English","Disposable / HU:",IF($K$5="Français","Proportion perdue/UM:",IF($K$5="Portugues","Proporção descartável / UT:",IF($K$5="中文","不可回收/托盘")))))</f>
        <v>Disposable / HU:</v>
      </c>
      <c r="K47" s="411"/>
      <c r="L47" s="103" t="str">
        <f>IF(M36="","",IF(D36=1,N36,0)+IF(D37=1,N37,0)+IF(D38=1,N38,0)+IF(D39=1,N39,0)+IF(D40=1,N40,0)+IF(D41=1,N41,0)+IF(D42=1,N42,0)+IF(D43=1,N43,0)+IF(D44=1,N44,0)+IF(D45=1,N45,0))</f>
        <v/>
      </c>
      <c r="M47" s="104" t="str">
        <f>IF($K$5="Deutsch","/ Stk:",IF($K$5="English","/ pcs:",IF($K$5="Français","/ pièce:",IF($K$5="Portugues","/ peça:",IF($K$5="中文","/ pcs")))))</f>
        <v>/ pcs:</v>
      </c>
      <c r="N47" s="105" t="str">
        <f>IF($L47="","",(((IF(L47&gt;=0,L47/$M$32,""))))+IF(N48&lt;&gt;0,0,D52/SUM(J27:J30,L27:L30)))</f>
        <v/>
      </c>
      <c r="O47" s="153"/>
      <c r="P47" s="153"/>
      <c r="Q47" s="153"/>
      <c r="R47" s="153"/>
      <c r="S47" s="153"/>
      <c r="T47" s="359"/>
      <c r="U47" s="359"/>
      <c r="V47" s="359"/>
      <c r="W47" s="359"/>
      <c r="X47" s="359"/>
      <c r="Y47" s="153"/>
      <c r="Z47" s="153"/>
      <c r="AA47" s="153"/>
      <c r="AB47" s="153"/>
      <c r="AC47" s="153"/>
      <c r="AD47" s="153"/>
      <c r="AE47" s="153"/>
      <c r="AF47" s="153"/>
      <c r="AG47" s="153"/>
      <c r="AH47" s="153"/>
      <c r="AI47" s="153"/>
      <c r="AJ47" s="153"/>
      <c r="AK47" s="153"/>
      <c r="AL47" s="153"/>
      <c r="AM47" s="153"/>
      <c r="AN47" s="153"/>
      <c r="AO47" s="153"/>
      <c r="AP47" s="153"/>
      <c r="AQ47" s="153"/>
      <c r="AR47" s="153"/>
      <c r="AS47" s="153"/>
      <c r="AT47" s="153"/>
      <c r="AU47" s="153"/>
      <c r="AV47" s="153"/>
      <c r="AW47" s="153"/>
      <c r="AX47" s="153"/>
      <c r="AY47" s="153"/>
    </row>
    <row r="48" spans="2:51" ht="13.5" customHeight="1" x14ac:dyDescent="0.2">
      <c r="B48" s="60" t="str">
        <f>IF($K$5="Deutsch","Tara-Gewicht (kg/lb):",IF($K$5="English","Tare Weight (kg/lb):",IF($K$5="Français","Poids tare (kg/lb):",IF($K$5="Portugues","Peso tara (kg/lb):",IF($K$5="中文","皮重(kg/lb):")))))</f>
        <v>Tare Weight (kg/lb):</v>
      </c>
      <c r="C48" s="21" t="str">
        <f>IF($J$24="","",IF((SUM($L36:$L45))=0,0,(SUM($L36:$L45))))</f>
        <v/>
      </c>
      <c r="D48" s="426"/>
      <c r="E48" s="427"/>
      <c r="F48" s="417" t="str">
        <f>IF($K$5="Deutsch","per 20ft Container:",IF($K$5="English","per 20ft Container:",IF($K$5="Français","pour Container 20ft :",IF($K$5="Portugues","por 20ft Container:",IF($K$5="中文","20尺集装箱：")))))</f>
        <v>per 20ft Container:</v>
      </c>
      <c r="G48" s="418"/>
      <c r="H48" s="418"/>
      <c r="I48" s="63">
        <f>IF($M$32="",0,U36)</f>
        <v>0</v>
      </c>
      <c r="J48" s="408" t="str">
        <f>IF($K$5="Deutsch","Mehrweganteil / LE:",IF($K$5="English","Returnable / HU:",IF($K$5="Français","Proportion réutilisable./UM:",IF($K$5="Portugues","Proporção retornável / UT:",IF($K$5="中文","可回收/托盘")))))</f>
        <v>Returnable / HU:</v>
      </c>
      <c r="K48" s="409"/>
      <c r="L48" s="106" t="str">
        <f>IF(M36="","",(IF(D36=2,N36,0)+IF(D37=2,N37,0)+IF(D38=2,N38,0)+IF(D39=2,N39,0)+IF(D40=2,N40,0)+IF(D41=2,N41,0)+IF(D42=2,N42,0)+IF(D43=2,N43,0)+IF(D44=2,N44,0)+IF(D45=2,N45,0)))</f>
        <v/>
      </c>
      <c r="M48" s="107" t="str">
        <f>IF($K$5="Deutsch","/ Stk:",IF($K$5="English","/ pcs:",IF($K$5="Français","/ pièce:",IF($K$5="Portugues","/ peça:",IF($K$5="中文","/ pcs")))))</f>
        <v>/ pcs:</v>
      </c>
      <c r="N48" s="108" t="str">
        <f>IF($L48="","",(IF(SUM(J27:J30)+SUM(L27:L30)=0,0,((IF(L48&gt;=0,L48*SUM(G54:G55)/(SUM(J27:J30)+SUM(L27:L30)),0)))))+D52/SUM(J27:J30,L27:L30))</f>
        <v/>
      </c>
      <c r="O48" s="153"/>
      <c r="P48" s="153"/>
      <c r="Q48" s="153"/>
      <c r="R48" s="153"/>
      <c r="S48" s="153"/>
      <c r="T48" s="359"/>
      <c r="U48" s="359"/>
      <c r="V48" s="359"/>
      <c r="W48" s="359"/>
      <c r="X48" s="359"/>
      <c r="Y48" s="153"/>
      <c r="Z48" s="153"/>
      <c r="AA48" s="153"/>
      <c r="AB48" s="153"/>
      <c r="AC48" s="153"/>
      <c r="AD48" s="153"/>
      <c r="AE48" s="153"/>
      <c r="AF48" s="153"/>
      <c r="AG48" s="153"/>
      <c r="AH48" s="153"/>
      <c r="AI48" s="153"/>
      <c r="AJ48" s="153"/>
      <c r="AK48" s="153"/>
      <c r="AL48" s="153"/>
      <c r="AM48" s="153"/>
      <c r="AN48" s="153"/>
      <c r="AO48" s="153"/>
      <c r="AP48" s="153"/>
      <c r="AQ48" s="153"/>
      <c r="AR48" s="153"/>
      <c r="AS48" s="153"/>
      <c r="AT48" s="153"/>
      <c r="AU48" s="153"/>
      <c r="AV48" s="153"/>
      <c r="AW48" s="153"/>
      <c r="AX48" s="153"/>
      <c r="AY48" s="153"/>
    </row>
    <row r="49" spans="1:51" ht="14.25" customHeight="1" thickBot="1" x14ac:dyDescent="0.25">
      <c r="B49" s="61" t="str">
        <f>IF($K$5="Deutsch","Brutto-Gewicht (kg/lb):",IF($K$5="English","Gross Weight (kg/lb):",IF($K$5="Français","Poids brut (kg/lb):",IF($K$5="Portugues","Peso bruto (kg/lb):",IF($K$5="中文","毛重(kg/lb):")))))</f>
        <v>Gross Weight (kg/lb):</v>
      </c>
      <c r="C49" s="23" t="str">
        <f>IF($J$24="","",IF(SUM(C47:C48)=0,0,SUM(C47:C48)))</f>
        <v/>
      </c>
      <c r="D49" s="428"/>
      <c r="E49" s="429"/>
      <c r="F49" s="459" t="str">
        <f>IF($K$5="Deutsch","per 40ft Container:",IF($K$5="English","per 40ft Container:",IF($K$5="Français","pour Container 40ft :",IF($K$5="Portugues","por 40ft Container:",IF($K$5="中文","40尺集装箱")))))</f>
        <v>per 40ft Container:</v>
      </c>
      <c r="G49" s="460"/>
      <c r="H49" s="460"/>
      <c r="I49" s="64">
        <f>IF($M$32="",0,U36)</f>
        <v>0</v>
      </c>
      <c r="J49" s="397" t="str">
        <f>IF($K$5="Deutsch","Total /LE:",IF($K$5="English","Total / HU:",IF($K$5="Français","Cout de l'emballage total:",IF($K$5="Portugues","Custos totals / UT:",IF($K$5="中文","共计/托盘")))))</f>
        <v>Total / HU:</v>
      </c>
      <c r="K49" s="398"/>
      <c r="L49" s="109" t="str">
        <f>IF(M36="","",(SUM(L47:L48)))</f>
        <v/>
      </c>
      <c r="M49" s="110" t="str">
        <f>IF($K$5="Deutsch","/ Stk:",IF($K$5="English","/ pcs:",IF($K$5="Français","/ pièce:",IF($K$5="Portugues","/ peça:",IF($K$5="中文","/ pcs")))))</f>
        <v>/ pcs:</v>
      </c>
      <c r="N49" s="111" t="str">
        <f>IF($L49="","",((IF(L49&gt;=0,N47+N48,""))))</f>
        <v/>
      </c>
      <c r="O49" s="153"/>
      <c r="P49" s="153"/>
      <c r="Q49" s="153"/>
      <c r="R49" s="153"/>
      <c r="S49" s="153"/>
      <c r="T49" s="359"/>
      <c r="U49" s="359"/>
      <c r="V49" s="359"/>
      <c r="W49" s="359"/>
      <c r="X49" s="359"/>
      <c r="Y49" s="153"/>
      <c r="Z49" s="153"/>
      <c r="AA49" s="153"/>
      <c r="AB49" s="153"/>
      <c r="AC49" s="153"/>
      <c r="AD49" s="153"/>
      <c r="AE49" s="153"/>
      <c r="AF49" s="153"/>
      <c r="AG49" s="153"/>
      <c r="AH49" s="153"/>
      <c r="AI49" s="153"/>
      <c r="AJ49" s="153"/>
      <c r="AK49" s="153"/>
      <c r="AL49" s="153"/>
      <c r="AM49" s="153"/>
      <c r="AN49" s="153"/>
      <c r="AO49" s="153"/>
      <c r="AP49" s="153"/>
      <c r="AQ49" s="153"/>
      <c r="AR49" s="153"/>
      <c r="AS49" s="153"/>
      <c r="AT49" s="153"/>
      <c r="AU49" s="153"/>
      <c r="AV49" s="153"/>
      <c r="AW49" s="153"/>
      <c r="AX49" s="153"/>
      <c r="AY49" s="153"/>
    </row>
    <row r="50" spans="1:51" ht="24.75" customHeight="1" thickBot="1" x14ac:dyDescent="0.25">
      <c r="B50" s="24"/>
      <c r="C50" s="25"/>
      <c r="D50" s="26"/>
      <c r="E50" s="22"/>
      <c r="F50" s="22"/>
      <c r="G50" s="22"/>
      <c r="H50" s="22"/>
      <c r="I50" s="27"/>
      <c r="J50" s="28"/>
      <c r="K50" s="28"/>
      <c r="L50" s="4"/>
      <c r="M50" s="29"/>
      <c r="N50" s="5"/>
      <c r="O50" s="153"/>
      <c r="P50" s="153"/>
      <c r="Q50" s="153"/>
      <c r="R50" s="153"/>
      <c r="S50" s="153"/>
      <c r="T50" s="153"/>
      <c r="U50" s="153"/>
      <c r="V50" s="153"/>
      <c r="W50" s="153"/>
      <c r="X50" s="153"/>
      <c r="Y50" s="153"/>
      <c r="Z50" s="153"/>
      <c r="AA50" s="153"/>
      <c r="AB50" s="153"/>
      <c r="AC50" s="153"/>
      <c r="AD50" s="153"/>
      <c r="AE50" s="153"/>
      <c r="AF50" s="153"/>
      <c r="AG50" s="153"/>
      <c r="AH50" s="153"/>
      <c r="AI50" s="153"/>
      <c r="AJ50" s="153"/>
      <c r="AK50" s="153"/>
      <c r="AL50" s="153"/>
      <c r="AM50" s="153"/>
      <c r="AN50" s="153"/>
      <c r="AO50" s="153"/>
      <c r="AP50" s="153"/>
      <c r="AQ50" s="153"/>
      <c r="AR50" s="153"/>
      <c r="AS50" s="153"/>
      <c r="AT50" s="153"/>
      <c r="AU50" s="153"/>
      <c r="AV50" s="153"/>
      <c r="AW50" s="153"/>
      <c r="AX50" s="153"/>
      <c r="AY50" s="153"/>
    </row>
    <row r="51" spans="1:51" ht="16.5" thickBot="1" x14ac:dyDescent="0.25">
      <c r="B51" s="419" t="str">
        <f>IF($K$5="Deutsch","Mehrwegverpackung",IF($K$5="English","Returnable dunnage",IF($K$5="Français","Couts d'emballage au prorata / composants",IF($K$5="Portugues","Embalagem reutilisável",IF($K$5="中文","周转包装")))))</f>
        <v>Returnable dunnage</v>
      </c>
      <c r="C51" s="420"/>
      <c r="D51" s="420"/>
      <c r="E51" s="420"/>
      <c r="F51" s="420"/>
      <c r="G51" s="420"/>
      <c r="H51" s="420"/>
      <c r="I51" s="420"/>
      <c r="J51" s="420"/>
      <c r="K51" s="420"/>
      <c r="L51" s="420"/>
      <c r="M51" s="420"/>
      <c r="N51" s="421"/>
      <c r="O51" s="152"/>
      <c r="P51" s="153"/>
      <c r="Q51" s="153"/>
      <c r="R51" s="153"/>
      <c r="S51" s="153"/>
      <c r="T51" s="358" t="s">
        <v>82</v>
      </c>
      <c r="U51" s="359"/>
      <c r="V51" s="359"/>
      <c r="W51" s="359"/>
      <c r="X51" s="359"/>
      <c r="Y51" s="153"/>
      <c r="Z51" s="153"/>
      <c r="AA51" s="153"/>
      <c r="AB51" s="153"/>
      <c r="AC51" s="153"/>
      <c r="AD51" s="153"/>
      <c r="AE51" s="153"/>
      <c r="AF51" s="153"/>
      <c r="AG51" s="153"/>
      <c r="AH51" s="153"/>
      <c r="AI51" s="153"/>
      <c r="AJ51" s="153"/>
      <c r="AK51" s="153"/>
      <c r="AL51" s="153"/>
      <c r="AM51" s="153"/>
      <c r="AN51" s="153"/>
      <c r="AO51" s="153"/>
      <c r="AP51" s="153"/>
      <c r="AQ51" s="153"/>
      <c r="AR51" s="153"/>
      <c r="AS51" s="153"/>
      <c r="AT51" s="153"/>
      <c r="AU51" s="153"/>
      <c r="AV51" s="153"/>
      <c r="AW51" s="153"/>
      <c r="AX51" s="153"/>
      <c r="AY51" s="153"/>
    </row>
    <row r="52" spans="1:51" ht="25.5" customHeight="1" thickBot="1" x14ac:dyDescent="0.25">
      <c r="B52" s="45" t="str">
        <f>IF($K$5="Deutsch","Werkzeugkosten Verpackung:",IF($K$5="English","Tooling costs Packaging:",IF($K$5="Français","Coût outillage d'emballage:",IF($K$5="Portugues","Custo do ferramental de embalagem:",IF($K$5="中文","包装工具成本：")))))</f>
        <v>Tooling costs Packaging:</v>
      </c>
      <c r="C52" s="46">
        <f>N34</f>
        <v>0</v>
      </c>
      <c r="D52" s="142"/>
      <c r="E52" s="511" t="str">
        <f>IF($K$5="Deutsch","Amortisation (Jahre):",IF($K$5="English","Amortisation time (yrs.):",IF($K$5="Français","L'amortissement (années):",IF($K$5="Portugues","Tempo de amortização (anos):",IF($K$5="中文","周转时间（年）")))))</f>
        <v>Amortisation time (yrs.):</v>
      </c>
      <c r="F52" s="512"/>
      <c r="G52" s="300" t="str">
        <f>IF(J29="","",(IF(($J$29*$J$26)&lt;1,0,($J$29*$J$26)/J29)))</f>
        <v/>
      </c>
      <c r="H52" s="301"/>
      <c r="I52" s="313"/>
      <c r="J52" s="375" t="str">
        <f>IF($K$5="Deutsch","Max. Verpackungsinvest/Jahr",IF($K$5="English","Max. packaging invest/year",IF($K$5="Français"," Investissement max. par an pour l'emballage",IF($K$5="Portugues","Max. emabalagem invest/ano",IF($K$5="中文","每年包装的最大投资量")))))</f>
        <v>Max. packaging invest/year</v>
      </c>
      <c r="K52" s="317"/>
      <c r="L52" s="303"/>
      <c r="M52" s="303"/>
      <c r="N52" s="376"/>
      <c r="O52" s="152"/>
      <c r="P52" s="153"/>
      <c r="Q52" s="153"/>
      <c r="R52" s="153"/>
      <c r="S52" s="153"/>
      <c r="T52" s="359"/>
      <c r="U52" s="359"/>
      <c r="V52" s="359"/>
      <c r="W52" s="359"/>
      <c r="X52" s="359"/>
      <c r="Y52" s="153"/>
      <c r="Z52" s="153"/>
      <c r="AA52" s="153"/>
      <c r="AB52" s="153"/>
      <c r="AC52" s="153"/>
      <c r="AD52" s="153"/>
      <c r="AE52" s="153"/>
      <c r="AF52" s="153"/>
      <c r="AG52" s="153"/>
      <c r="AH52" s="153"/>
      <c r="AI52" s="153"/>
      <c r="AJ52" s="153"/>
      <c r="AK52" s="153"/>
      <c r="AL52" s="153"/>
      <c r="AM52" s="153"/>
      <c r="AN52" s="153"/>
      <c r="AO52" s="153"/>
      <c r="AP52" s="153"/>
      <c r="AQ52" s="153"/>
      <c r="AR52" s="153"/>
      <c r="AS52" s="153"/>
      <c r="AT52" s="153"/>
      <c r="AU52" s="153"/>
      <c r="AV52" s="153"/>
      <c r="AW52" s="153"/>
      <c r="AX52" s="153"/>
      <c r="AY52" s="153"/>
    </row>
    <row r="53" spans="1:51" ht="21.75" customHeight="1" thickBot="1" x14ac:dyDescent="0.25">
      <c r="B53" s="285" t="str">
        <f>IF($K$5="Deutsch","Arbeitstage (Jahr):",IF($K$5="English","Working days (year):",IF($K$5="Français","Nombre de jours travaillés (par an) :",IF($K$5="Portugues","Dias trabalhados (ano)::",IF($K$5="中文","包装使用天数/年:")))))</f>
        <v>Working days (year):</v>
      </c>
      <c r="C53" s="286"/>
      <c r="D53" s="101" t="e">
        <f>VLOOKUP(B6,Z10:AC19,2,FALSE)</f>
        <v>#N/A</v>
      </c>
      <c r="E53" s="511" t="str">
        <f>IF($K$5="Deutsch","Zinssatz (%):",IF($K$5="English","Interest (%):",IF($K$5="Français","Intérets (%)::",IF($K$5="Portugues","Jinos (%):",IF($K$5="中文","利率（%）")))))</f>
        <v>Interest (%):</v>
      </c>
      <c r="F53" s="512"/>
      <c r="G53" s="373"/>
      <c r="H53" s="374"/>
      <c r="I53" s="314"/>
      <c r="J53" s="289" t="str">
        <f>IF($K$5="Deutsch","ohne Verzinsung:",IF($K$5="English","without interest:",IF($K$5="Français","sans intérets:",IF($K$5="Portugues","sen junos:",IF($K$5="中文","无利息")))))</f>
        <v>without interest:</v>
      </c>
      <c r="K53" s="290"/>
      <c r="L53" s="70" t="str">
        <f>IF($K$5="Deutsch","Währung",IF($K$5="English","Currency",IF($K$5="Français","Devise:",IF($K$5="Portugues","Moeda",IF($K$5="中文","币种")))))</f>
        <v>Currency</v>
      </c>
      <c r="M53" s="519" t="str">
        <f>IF($K$5="Deutsch","mit Verzinsung:",IF($K$5="English","with interest:",IF($K$5="Français","avec intérets:",IF($K$5="Portugues","com jinos:",IF($K$5="中文","有利息")))))</f>
        <v>with interest:</v>
      </c>
      <c r="N53" s="520"/>
      <c r="O53" s="153"/>
      <c r="P53" s="153"/>
      <c r="Q53" s="153"/>
      <c r="R53" s="153"/>
      <c r="S53" s="153"/>
      <c r="T53" s="359"/>
      <c r="U53" s="359"/>
      <c r="V53" s="359"/>
      <c r="W53" s="359"/>
      <c r="X53" s="359"/>
      <c r="Y53" s="153"/>
      <c r="Z53" s="153"/>
      <c r="AA53" s="153"/>
      <c r="AB53" s="153"/>
      <c r="AC53" s="153"/>
      <c r="AD53" s="153"/>
      <c r="AE53" s="153"/>
      <c r="AF53" s="153"/>
      <c r="AG53" s="153"/>
      <c r="AH53" s="153"/>
      <c r="AI53" s="153"/>
      <c r="AJ53" s="153"/>
      <c r="AK53" s="153"/>
      <c r="AL53" s="153"/>
      <c r="AM53" s="153"/>
      <c r="AN53" s="153"/>
      <c r="AO53" s="153"/>
      <c r="AP53" s="153"/>
      <c r="AQ53" s="153"/>
      <c r="AR53" s="153"/>
      <c r="AS53" s="153"/>
      <c r="AT53" s="153"/>
      <c r="AU53" s="153"/>
      <c r="AV53" s="153"/>
      <c r="AW53" s="153"/>
      <c r="AX53" s="153"/>
      <c r="AY53" s="153"/>
    </row>
    <row r="54" spans="1:51" ht="13.5" thickBot="1" x14ac:dyDescent="0.25">
      <c r="B54" s="505" t="str">
        <f>IF($K$5="Deutsch","Bedarf Mehrwegverpackung (in Tagen):",IF($K$5="English","Demand Returnable dunnage (days):",IF($K$5="Français","Besoins en emballage réutilisable (jours):",IF($K$5="Portugues","Requer embalagem reutilisavel (dias):",IF($K$5="中文","周转时间（天）：")))))</f>
        <v>Demand Returnable dunnage (days):</v>
      </c>
      <c r="C54" s="506"/>
      <c r="D54" s="102" t="e">
        <f>VLOOKUP(B6,Z10:AC19,4,FALSE)</f>
        <v>#N/A</v>
      </c>
      <c r="E54" s="507" t="str">
        <f>IF($K$5="Deutsch","entspricht HU (Stk.):",IF($K$5="English","equates HU (pcs.):",IF($K$5="Français","correspond à (pcs):",IF($K$5="Portugues","corresponde  HU (pcs.):",IF($K$5="中文","折合每包装单元（pcs）")))))</f>
        <v>equates HU (pcs.):</v>
      </c>
      <c r="F54" s="508"/>
      <c r="G54" s="513" t="e">
        <f>IF($D53=0,"",IF(M32&gt;0,(ROUNDUP((D54*(MAX(MAX(J27:J30),MAX(L27:L30)))/D53/M32),0)),0))</f>
        <v>#N/A</v>
      </c>
      <c r="H54" s="514"/>
      <c r="I54" s="314"/>
      <c r="J54" s="515" t="e">
        <f>IF($G54="","",($G$54*$L$49+$D$52))</f>
        <v>#N/A</v>
      </c>
      <c r="K54" s="516"/>
      <c r="L54" s="71" t="e">
        <f>IF($G54="","",(IF($N$34="","",N34)))</f>
        <v>#N/A</v>
      </c>
      <c r="M54" s="371" t="e">
        <f>IF($G54="","",IF($J$29&gt;0,(-(PMT($G$53,$G$52,$J$54))*$G$52),0))</f>
        <v>#N/A</v>
      </c>
      <c r="N54" s="372"/>
      <c r="O54" s="153"/>
      <c r="P54" s="153"/>
      <c r="Q54" s="153"/>
      <c r="R54" s="153"/>
      <c r="S54" s="153"/>
      <c r="T54" s="359"/>
      <c r="U54" s="359"/>
      <c r="V54" s="359"/>
      <c r="W54" s="359"/>
      <c r="X54" s="359"/>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153"/>
      <c r="AY54" s="153"/>
    </row>
    <row r="55" spans="1:51" ht="13.5" thickBot="1" x14ac:dyDescent="0.25">
      <c r="B55" s="509" t="str">
        <f>IF($K$5="Deutsch","Schwund / Defekte (%):",IF($K$5="English","Diminished / Defects (%):",IF($K$5="Français","Pertes, défauts:",IF($K$5="Portugues","Redução / Defeitos (%):",IF($K$5="中文","破损率（%）：")))))</f>
        <v>Diminished / Defects (%):</v>
      </c>
      <c r="C55" s="510"/>
      <c r="D55" s="151" t="e">
        <f>VLOOKUP(B6,Z10:AC19,3,FALSE)</f>
        <v>#N/A</v>
      </c>
      <c r="E55" s="291" t="str">
        <f>IF($K$5="Deutsch","entspricht HU (Stk.):",IF($K$5="English","equates HU (pcs.):",IF($K$5="Français","correspond à (pcs):",IF($K$5="Portugues","corresponde  HU (pcs.):",IF($K$5="中文","折合每包装单元（pcs）")))))</f>
        <v>equates HU (pcs.):</v>
      </c>
      <c r="F55" s="292"/>
      <c r="G55" s="517" t="e">
        <f>IF($D53=0,"",IF(M33&gt;0,(ROUNDUP(((D54*(MAX(MAX(J27:J30),MAX(L27:L30)))/D53/M32)*(D55))*J26,0)),0))</f>
        <v>#N/A</v>
      </c>
      <c r="H55" s="518"/>
      <c r="I55" s="315"/>
      <c r="J55" s="319" t="e">
        <f>IF($G55="","",$G$55*$L$49)</f>
        <v>#N/A</v>
      </c>
      <c r="K55" s="320"/>
      <c r="L55" s="72" t="e">
        <f>IF($G55="","",(IF($N$34="","",N34)))</f>
        <v>#N/A</v>
      </c>
      <c r="M55" s="287" t="e">
        <f>IF($G55="","",IF($J$29&gt;0,(-(PMT($G$53,$G$52,$J$55))*$G$52),0))</f>
        <v>#N/A</v>
      </c>
      <c r="N55" s="288"/>
      <c r="O55" s="153"/>
      <c r="P55" s="153"/>
      <c r="Q55" s="153"/>
      <c r="R55" s="153"/>
      <c r="S55" s="153"/>
      <c r="T55" s="153"/>
      <c r="U55" s="153"/>
      <c r="V55" s="153"/>
      <c r="W55" s="153"/>
      <c r="X55" s="153"/>
      <c r="Y55" s="153"/>
      <c r="Z55" s="153"/>
      <c r="AA55" s="153"/>
      <c r="AB55" s="153"/>
      <c r="AC55" s="153"/>
      <c r="AD55" s="153"/>
      <c r="AE55" s="153"/>
      <c r="AF55" s="153"/>
      <c r="AG55" s="153"/>
      <c r="AH55" s="153"/>
      <c r="AI55" s="153"/>
      <c r="AJ55" s="153"/>
      <c r="AK55" s="153"/>
      <c r="AL55" s="153"/>
      <c r="AM55" s="153"/>
      <c r="AN55" s="153"/>
      <c r="AO55" s="153"/>
      <c r="AP55" s="153"/>
      <c r="AQ55" s="153"/>
      <c r="AR55" s="153"/>
      <c r="AS55" s="153"/>
      <c r="AT55" s="153"/>
      <c r="AU55" s="153"/>
      <c r="AV55" s="153"/>
      <c r="AW55" s="153"/>
      <c r="AX55" s="153"/>
      <c r="AY55" s="153"/>
    </row>
    <row r="56" spans="1:51" ht="13.5" thickBot="1" x14ac:dyDescent="0.25">
      <c r="B56" s="76"/>
      <c r="C56" s="77"/>
      <c r="D56" s="78"/>
      <c r="E56" s="73"/>
      <c r="F56" s="74"/>
      <c r="G56" s="79"/>
      <c r="H56" s="80"/>
      <c r="I56" s="81"/>
      <c r="J56" s="298" t="e">
        <f>IF(J54="","",(SUM(J54,J55)))</f>
        <v>#N/A</v>
      </c>
      <c r="K56" s="299"/>
      <c r="L56" s="69" t="e">
        <f>IF($G54="","",(IF($N$34="","",N34)))</f>
        <v>#N/A</v>
      </c>
      <c r="M56" s="298" t="e">
        <f>IF(M54="","",SUM(M54,M55))</f>
        <v>#N/A</v>
      </c>
      <c r="N56" s="521"/>
      <c r="O56" s="153"/>
      <c r="P56" s="153"/>
      <c r="Q56" s="153"/>
      <c r="R56" s="153"/>
      <c r="S56" s="153"/>
      <c r="T56" s="153"/>
      <c r="U56" s="153"/>
      <c r="V56" s="153"/>
      <c r="W56" s="153"/>
      <c r="X56" s="153"/>
      <c r="Y56" s="153"/>
      <c r="Z56" s="153"/>
      <c r="AA56" s="153"/>
      <c r="AB56" s="153"/>
      <c r="AC56" s="153"/>
      <c r="AD56" s="153"/>
      <c r="AE56" s="153"/>
      <c r="AF56" s="153"/>
      <c r="AG56" s="153"/>
      <c r="AH56" s="153"/>
      <c r="AI56" s="153"/>
      <c r="AJ56" s="153"/>
      <c r="AK56" s="153"/>
      <c r="AL56" s="153"/>
      <c r="AM56" s="153"/>
      <c r="AN56" s="153"/>
      <c r="AO56" s="153"/>
      <c r="AP56" s="153"/>
      <c r="AQ56" s="153"/>
      <c r="AR56" s="153"/>
      <c r="AS56" s="153"/>
      <c r="AT56" s="153"/>
      <c r="AU56" s="153"/>
      <c r="AV56" s="153"/>
      <c r="AW56" s="153"/>
      <c r="AX56" s="153"/>
      <c r="AY56" s="153"/>
    </row>
    <row r="57" spans="1:51" ht="25.5" customHeight="1" thickBot="1" x14ac:dyDescent="0.25">
      <c r="A57" s="10"/>
      <c r="B57" s="115"/>
      <c r="C57" s="10"/>
      <c r="D57" s="125"/>
      <c r="E57" s="75"/>
      <c r="F57" s="75"/>
      <c r="G57" s="53"/>
      <c r="H57" s="54"/>
      <c r="I57" s="126"/>
      <c r="J57" s="55"/>
      <c r="K57" s="55"/>
      <c r="L57" s="29"/>
      <c r="M57" s="56"/>
      <c r="N57" s="127"/>
      <c r="O57" s="152"/>
      <c r="P57" s="153"/>
      <c r="Q57" s="153"/>
      <c r="R57" s="153"/>
      <c r="S57" s="153"/>
      <c r="T57" s="153"/>
      <c r="U57" s="153"/>
      <c r="V57" s="153"/>
      <c r="W57" s="153"/>
      <c r="X57" s="153"/>
      <c r="Y57" s="153"/>
      <c r="Z57" s="153"/>
      <c r="AA57" s="153"/>
      <c r="AB57" s="153"/>
      <c r="AC57" s="153"/>
      <c r="AD57" s="153"/>
      <c r="AE57" s="153"/>
      <c r="AF57" s="153"/>
      <c r="AG57" s="153"/>
      <c r="AH57" s="153"/>
      <c r="AI57" s="153"/>
      <c r="AJ57" s="153"/>
      <c r="AK57" s="153"/>
      <c r="AL57" s="153"/>
      <c r="AM57" s="153"/>
      <c r="AN57" s="153"/>
      <c r="AO57" s="153"/>
      <c r="AP57" s="153"/>
      <c r="AQ57" s="153"/>
      <c r="AR57" s="153"/>
      <c r="AS57" s="153"/>
      <c r="AT57" s="153"/>
      <c r="AU57" s="153"/>
      <c r="AV57" s="153"/>
      <c r="AW57" s="153"/>
      <c r="AX57" s="153"/>
      <c r="AY57" s="153"/>
    </row>
    <row r="58" spans="1:51" ht="25.5" customHeight="1" thickBot="1" x14ac:dyDescent="0.25">
      <c r="B58" s="85" t="str">
        <f>B34</f>
        <v>Designation/description           packaging components:</v>
      </c>
      <c r="C58" s="68" t="str">
        <f>K34</f>
        <v>Number / HU</v>
      </c>
      <c r="D58" s="86" t="str">
        <f>D34</f>
        <v>1= OneWay 2=Returnable</v>
      </c>
      <c r="E58" s="475" t="str">
        <f>IF($K$5="Deutsch","Kommentare",IF($K$5="English","Comments",IF($K$5="Français","Commentaire",IF($K$5="Portugues","Comentários",IF($K$5="中文","注释")))))</f>
        <v>Comments</v>
      </c>
      <c r="F58" s="476"/>
      <c r="G58" s="476"/>
      <c r="H58" s="476"/>
      <c r="I58" s="477"/>
      <c r="J58" s="316" t="str">
        <f>IF($K$5="Deutsch","Freigabe Verpackung",IF($K$5="English","Release Packaging",IF($K$5="Français","Acceptation de l'emballage",IF($K$5="Portugues","Liberação da embalagem ",IF($K$5="中文","包装许可")))))</f>
        <v>Release Packaging</v>
      </c>
      <c r="K58" s="317"/>
      <c r="L58" s="317"/>
      <c r="M58" s="317"/>
      <c r="N58" s="318"/>
      <c r="O58" s="153"/>
      <c r="P58" s="153"/>
      <c r="Q58" s="153"/>
      <c r="R58" s="153"/>
      <c r="S58" s="153"/>
      <c r="T58" s="153"/>
      <c r="U58" s="153"/>
      <c r="V58" s="153"/>
      <c r="W58" s="153"/>
      <c r="X58" s="153"/>
      <c r="Y58" s="153"/>
      <c r="Z58" s="153"/>
      <c r="AA58" s="153"/>
      <c r="AB58" s="153"/>
      <c r="AC58" s="153"/>
      <c r="AD58" s="153"/>
      <c r="AE58" s="153"/>
      <c r="AF58" s="153"/>
      <c r="AG58" s="153"/>
      <c r="AH58" s="153"/>
      <c r="AI58" s="153"/>
      <c r="AJ58" s="153"/>
      <c r="AK58" s="153"/>
      <c r="AL58" s="153"/>
      <c r="AM58" s="153"/>
      <c r="AN58" s="153"/>
      <c r="AO58" s="153"/>
      <c r="AP58" s="153"/>
      <c r="AQ58" s="153"/>
      <c r="AR58" s="153"/>
      <c r="AS58" s="153"/>
      <c r="AT58" s="153"/>
      <c r="AU58" s="153"/>
      <c r="AV58" s="153"/>
      <c r="AW58" s="153"/>
      <c r="AX58" s="153"/>
      <c r="AY58" s="153"/>
    </row>
    <row r="59" spans="1:51" ht="24" customHeight="1" x14ac:dyDescent="0.25">
      <c r="B59" s="65" t="str">
        <f>IF(B36="","",B36)</f>
        <v/>
      </c>
      <c r="C59" s="66" t="str">
        <f>IF(K36="","",K36)</f>
        <v/>
      </c>
      <c r="D59" s="67" t="str">
        <f>IF(D36="","",D36)</f>
        <v/>
      </c>
      <c r="E59" s="484" t="str">
        <f>IF(K5="Deutsch",T51,T46)</f>
        <v xml:space="preserve">1. One cardboard box / returnable container should not exceed 15 kg/33 lb total weight when filled.
2. Labelling according to TK-Presta Labelling Guideline.
3. Outside storage of packaging material not permitted.
4. Disposable packaging shall be provided by supplier. 
5. Logistics specification, latest version, is to be applied unless exception clearly stated in this packaging data sheet.
6. Final quantity and nomination is communicated by the purchasing department.                                                  </v>
      </c>
      <c r="F59" s="485"/>
      <c r="G59" s="485"/>
      <c r="H59" s="485"/>
      <c r="I59" s="486"/>
      <c r="J59" s="217" t="str">
        <f>IF($K$5="Deutsch","Freigabe Extern",IF($K$5="English","External Release",IF($K$5="Français","Signature Externe",IF($K$5="Portugues","Liberação externa ",IF($K$5="中文","外部许可",IF($K$5="हिन्दी","बाहरी रिलीज"))))))</f>
        <v>External Release</v>
      </c>
      <c r="K59" s="295" t="str">
        <f>IF($K$5="Deutsch","Lieferant/Kunde",IF($K$5="English","Supplier/Customer",IF($K$5="Français","Fournissuer/Données:",IF($K$5="Portugues","Fornecedor / Cliente",IF($K$5="中文","供应商/客户",IF($K$5="हिन्दी","प्रदायक / ग्राहक"))))))</f>
        <v>Supplier/Customer</v>
      </c>
      <c r="L59" s="296"/>
      <c r="M59" s="296"/>
      <c r="N59" s="297"/>
      <c r="O59" s="153"/>
      <c r="P59" s="153"/>
      <c r="Q59" s="153"/>
      <c r="R59" s="153"/>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row>
    <row r="60" spans="1:51" ht="22.5" customHeight="1" x14ac:dyDescent="0.2">
      <c r="B60" s="42" t="str">
        <f t="shared" ref="B60:B68" si="3">IF(B37="","",B37)</f>
        <v/>
      </c>
      <c r="C60" s="44" t="str">
        <f t="shared" ref="C60:C68" si="4">IF(K37="","",K37)</f>
        <v/>
      </c>
      <c r="D60" s="47" t="str">
        <f t="shared" ref="D60:D68" si="5">IF(D37="","",D37)</f>
        <v/>
      </c>
      <c r="E60" s="487"/>
      <c r="F60" s="488"/>
      <c r="G60" s="488"/>
      <c r="H60" s="488"/>
      <c r="I60" s="489"/>
      <c r="J60" s="222"/>
      <c r="K60" s="224"/>
      <c r="L60" s="436"/>
      <c r="M60" s="437"/>
      <c r="N60" s="438"/>
      <c r="O60" s="153"/>
      <c r="P60" s="153"/>
      <c r="Q60" s="153"/>
      <c r="R60" s="153"/>
      <c r="S60" s="153"/>
      <c r="T60" s="153"/>
      <c r="U60" s="153"/>
      <c r="V60" s="153"/>
      <c r="W60" s="153"/>
      <c r="X60" s="153"/>
      <c r="Y60" s="153"/>
      <c r="Z60" s="153"/>
      <c r="AA60" s="153"/>
      <c r="AB60" s="153"/>
      <c r="AC60" s="153"/>
      <c r="AD60" s="153"/>
      <c r="AE60" s="153"/>
      <c r="AF60" s="153"/>
      <c r="AG60" s="153"/>
      <c r="AH60" s="153"/>
      <c r="AI60" s="153"/>
      <c r="AJ60" s="153"/>
      <c r="AK60" s="153"/>
      <c r="AL60" s="153"/>
      <c r="AM60" s="153"/>
      <c r="AN60" s="153"/>
      <c r="AO60" s="153"/>
      <c r="AP60" s="153"/>
      <c r="AQ60" s="153"/>
      <c r="AR60" s="153"/>
      <c r="AS60" s="153"/>
      <c r="AT60" s="153"/>
      <c r="AU60" s="153"/>
      <c r="AV60" s="153"/>
      <c r="AW60" s="153"/>
      <c r="AX60" s="153"/>
      <c r="AY60" s="153"/>
    </row>
    <row r="61" spans="1:51" ht="21.95" customHeight="1" x14ac:dyDescent="0.2">
      <c r="B61" s="42" t="str">
        <f t="shared" si="3"/>
        <v/>
      </c>
      <c r="C61" s="44" t="str">
        <f t="shared" si="4"/>
        <v/>
      </c>
      <c r="D61" s="47" t="str">
        <f t="shared" si="5"/>
        <v/>
      </c>
      <c r="E61" s="487"/>
      <c r="F61" s="488"/>
      <c r="G61" s="488"/>
      <c r="H61" s="488"/>
      <c r="I61" s="489"/>
      <c r="J61" s="222"/>
      <c r="K61" s="225"/>
      <c r="L61" s="439"/>
      <c r="M61" s="440"/>
      <c r="N61" s="441"/>
      <c r="O61" s="153"/>
      <c r="P61" s="153"/>
      <c r="Q61" s="153"/>
      <c r="R61" s="153"/>
      <c r="S61" s="153"/>
      <c r="T61" s="153"/>
      <c r="U61" s="153"/>
      <c r="V61" s="153"/>
      <c r="W61" s="153"/>
      <c r="X61" s="153"/>
      <c r="Y61" s="153"/>
      <c r="Z61" s="153"/>
      <c r="AA61" s="153"/>
      <c r="AB61" s="153"/>
      <c r="AC61" s="153"/>
      <c r="AD61" s="153"/>
      <c r="AE61" s="153"/>
      <c r="AF61" s="153"/>
      <c r="AG61" s="153"/>
      <c r="AH61" s="153"/>
      <c r="AI61" s="153"/>
      <c r="AJ61" s="153"/>
      <c r="AK61" s="153"/>
      <c r="AL61" s="153"/>
      <c r="AM61" s="153"/>
      <c r="AN61" s="153"/>
      <c r="AO61" s="153"/>
      <c r="AP61" s="153"/>
      <c r="AQ61" s="153"/>
      <c r="AR61" s="153"/>
      <c r="AS61" s="153"/>
      <c r="AT61" s="153"/>
      <c r="AU61" s="153"/>
      <c r="AV61" s="153"/>
      <c r="AW61" s="153"/>
      <c r="AX61" s="153"/>
      <c r="AY61" s="153"/>
    </row>
    <row r="62" spans="1:51" ht="21.95" customHeight="1" x14ac:dyDescent="0.2">
      <c r="B62" s="42" t="str">
        <f t="shared" si="3"/>
        <v/>
      </c>
      <c r="C62" s="44" t="str">
        <f t="shared" si="4"/>
        <v/>
      </c>
      <c r="D62" s="47" t="str">
        <f t="shared" si="5"/>
        <v/>
      </c>
      <c r="E62" s="487"/>
      <c r="F62" s="488"/>
      <c r="G62" s="488"/>
      <c r="H62" s="488"/>
      <c r="I62" s="489"/>
      <c r="J62" s="222"/>
      <c r="K62" s="226"/>
      <c r="L62" s="442"/>
      <c r="M62" s="443"/>
      <c r="N62" s="444"/>
      <c r="O62" s="153"/>
      <c r="P62" s="153"/>
      <c r="Q62" s="153"/>
      <c r="R62" s="153"/>
      <c r="S62" s="153"/>
      <c r="T62" s="153"/>
      <c r="U62" s="153"/>
      <c r="V62" s="153"/>
      <c r="W62" s="153"/>
      <c r="X62" s="153"/>
      <c r="Y62" s="153"/>
      <c r="Z62" s="153"/>
      <c r="AA62" s="153"/>
      <c r="AB62" s="153"/>
      <c r="AC62" s="153"/>
      <c r="AD62" s="153"/>
      <c r="AE62" s="153"/>
      <c r="AF62" s="153"/>
      <c r="AG62" s="153"/>
      <c r="AH62" s="153"/>
      <c r="AI62" s="153"/>
      <c r="AJ62" s="153"/>
      <c r="AK62" s="153"/>
      <c r="AL62" s="153"/>
      <c r="AM62" s="153"/>
      <c r="AN62" s="153"/>
      <c r="AO62" s="153"/>
      <c r="AP62" s="153"/>
      <c r="AQ62" s="153"/>
      <c r="AR62" s="153"/>
      <c r="AS62" s="153"/>
      <c r="AT62" s="153"/>
      <c r="AU62" s="153"/>
      <c r="AV62" s="153"/>
      <c r="AW62" s="153"/>
      <c r="AX62" s="153"/>
      <c r="AY62" s="153"/>
    </row>
    <row r="63" spans="1:51" ht="21.95" customHeight="1" thickBot="1" x14ac:dyDescent="0.25">
      <c r="B63" s="42" t="str">
        <f t="shared" si="3"/>
        <v/>
      </c>
      <c r="C63" s="44" t="str">
        <f t="shared" si="4"/>
        <v/>
      </c>
      <c r="D63" s="47" t="str">
        <f t="shared" si="5"/>
        <v/>
      </c>
      <c r="E63" s="487"/>
      <c r="F63" s="488"/>
      <c r="G63" s="488"/>
      <c r="H63" s="488"/>
      <c r="I63" s="489"/>
      <c r="J63" s="223"/>
      <c r="K63" s="129" t="str">
        <f>IF($K$5="Deutsch","Datum",IF($K$5="English","Date",IF($K$5="Français","Date",IF($K$5="Portugues","Data",IF($K$5="中文"," ")))))</f>
        <v>Date</v>
      </c>
      <c r="L63" s="445"/>
      <c r="M63" s="446"/>
      <c r="N63" s="447"/>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153"/>
      <c r="AY63" s="153"/>
    </row>
    <row r="64" spans="1:51" ht="21.95" customHeight="1" x14ac:dyDescent="0.25">
      <c r="B64" s="42" t="str">
        <f t="shared" si="3"/>
        <v/>
      </c>
      <c r="C64" s="44" t="str">
        <f t="shared" si="4"/>
        <v/>
      </c>
      <c r="D64" s="47" t="str">
        <f t="shared" si="5"/>
        <v/>
      </c>
      <c r="E64" s="487"/>
      <c r="F64" s="488"/>
      <c r="G64" s="488"/>
      <c r="H64" s="488"/>
      <c r="I64" s="489"/>
      <c r="J64" s="217" t="str">
        <f>IF($K$5="Deutsch","Freigabe Intern",IF($K$5="English","Internal Release",IF($K$5="Français","Signature Interne",IF($K$5="Portugues","Liberação interna ",IF($K$5="中文","内部许可",IF($K$5="हिन्दी","आंतरिक रिलीज"))))))</f>
        <v>Internal Release</v>
      </c>
      <c r="K64" s="295" t="s">
        <v>45</v>
      </c>
      <c r="L64" s="296"/>
      <c r="M64" s="296"/>
      <c r="N64" s="297"/>
      <c r="O64" s="153"/>
      <c r="P64" s="153"/>
      <c r="Q64" s="153"/>
      <c r="R64" s="153"/>
      <c r="S64" s="153"/>
      <c r="T64" s="153"/>
      <c r="U64" s="153"/>
      <c r="V64" s="153"/>
      <c r="W64" s="153"/>
      <c r="X64" s="153"/>
      <c r="Y64" s="153"/>
      <c r="Z64" s="153"/>
      <c r="AA64" s="153"/>
      <c r="AB64" s="153"/>
      <c r="AC64" s="153"/>
      <c r="AD64" s="153"/>
      <c r="AE64" s="153"/>
      <c r="AF64" s="153"/>
      <c r="AG64" s="153"/>
      <c r="AH64" s="153"/>
      <c r="AI64" s="153"/>
      <c r="AJ64" s="153"/>
      <c r="AK64" s="153"/>
      <c r="AL64" s="153"/>
      <c r="AM64" s="153"/>
      <c r="AN64" s="153"/>
      <c r="AO64" s="153"/>
      <c r="AP64" s="153"/>
      <c r="AQ64" s="153"/>
      <c r="AR64" s="153"/>
      <c r="AS64" s="153"/>
      <c r="AT64" s="153"/>
      <c r="AU64" s="153"/>
      <c r="AV64" s="153"/>
      <c r="AW64" s="153"/>
      <c r="AX64" s="153"/>
      <c r="AY64" s="153"/>
    </row>
    <row r="65" spans="1:51" ht="21.95" customHeight="1" x14ac:dyDescent="0.2">
      <c r="B65" s="42" t="str">
        <f t="shared" si="3"/>
        <v/>
      </c>
      <c r="C65" s="44" t="str">
        <f t="shared" si="4"/>
        <v/>
      </c>
      <c r="D65" s="47" t="str">
        <f t="shared" si="5"/>
        <v/>
      </c>
      <c r="E65" s="487"/>
      <c r="F65" s="488"/>
      <c r="G65" s="488"/>
      <c r="H65" s="488"/>
      <c r="I65" s="489"/>
      <c r="J65" s="218"/>
      <c r="K65" s="214"/>
      <c r="L65" s="493"/>
      <c r="M65" s="494"/>
      <c r="N65" s="495"/>
      <c r="O65" s="153"/>
      <c r="P65" s="153"/>
      <c r="Q65" s="153"/>
      <c r="R65" s="153"/>
      <c r="S65" s="153"/>
      <c r="T65" s="153"/>
      <c r="U65" s="153"/>
      <c r="V65" s="153"/>
      <c r="W65" s="153"/>
      <c r="X65" s="153"/>
      <c r="Y65" s="153"/>
      <c r="Z65" s="153"/>
      <c r="AA65" s="153"/>
      <c r="AB65" s="153"/>
      <c r="AC65" s="153"/>
      <c r="AD65" s="153"/>
      <c r="AE65" s="153"/>
      <c r="AF65" s="153"/>
      <c r="AG65" s="153"/>
      <c r="AH65" s="153"/>
      <c r="AI65" s="153"/>
      <c r="AJ65" s="153"/>
      <c r="AK65" s="153"/>
      <c r="AL65" s="153"/>
      <c r="AM65" s="153"/>
      <c r="AN65" s="153"/>
      <c r="AO65" s="153"/>
      <c r="AP65" s="153"/>
      <c r="AQ65" s="153"/>
      <c r="AR65" s="153"/>
      <c r="AS65" s="153"/>
      <c r="AT65" s="153"/>
      <c r="AU65" s="153"/>
      <c r="AV65" s="153"/>
      <c r="AW65" s="153"/>
      <c r="AX65" s="153"/>
      <c r="AY65" s="153"/>
    </row>
    <row r="66" spans="1:51" ht="21.95" customHeight="1" x14ac:dyDescent="0.2">
      <c r="B66" s="42" t="str">
        <f t="shared" si="3"/>
        <v/>
      </c>
      <c r="C66" s="44" t="str">
        <f t="shared" si="4"/>
        <v/>
      </c>
      <c r="D66" s="47" t="str">
        <f t="shared" si="5"/>
        <v/>
      </c>
      <c r="E66" s="487"/>
      <c r="F66" s="488"/>
      <c r="G66" s="488"/>
      <c r="H66" s="488"/>
      <c r="I66" s="489"/>
      <c r="J66" s="218"/>
      <c r="K66" s="215"/>
      <c r="L66" s="496"/>
      <c r="M66" s="497"/>
      <c r="N66" s="498"/>
      <c r="O66" s="153"/>
      <c r="P66" s="153"/>
      <c r="Q66" s="153"/>
      <c r="R66" s="153"/>
      <c r="S66" s="153"/>
      <c r="T66" s="153"/>
      <c r="U66" s="153"/>
      <c r="V66" s="153"/>
      <c r="W66" s="153"/>
      <c r="X66" s="153"/>
      <c r="Y66" s="153"/>
      <c r="Z66" s="153"/>
      <c r="AA66" s="153"/>
      <c r="AB66" s="153"/>
      <c r="AC66" s="153"/>
      <c r="AD66" s="153"/>
      <c r="AE66" s="153"/>
      <c r="AF66" s="153"/>
      <c r="AG66" s="153"/>
      <c r="AH66" s="153"/>
      <c r="AI66" s="153"/>
      <c r="AJ66" s="153"/>
      <c r="AK66" s="153"/>
      <c r="AL66" s="153"/>
      <c r="AM66" s="153"/>
      <c r="AN66" s="153"/>
      <c r="AO66" s="153"/>
      <c r="AP66" s="153"/>
      <c r="AQ66" s="153"/>
      <c r="AR66" s="153"/>
      <c r="AS66" s="153"/>
      <c r="AT66" s="153"/>
      <c r="AU66" s="153"/>
      <c r="AV66" s="153"/>
      <c r="AW66" s="153"/>
      <c r="AX66" s="153"/>
      <c r="AY66" s="153"/>
    </row>
    <row r="67" spans="1:51" ht="21.95" customHeight="1" x14ac:dyDescent="0.2">
      <c r="B67" s="42" t="str">
        <f t="shared" si="3"/>
        <v/>
      </c>
      <c r="C67" s="44" t="str">
        <f t="shared" si="4"/>
        <v/>
      </c>
      <c r="D67" s="47" t="str">
        <f t="shared" si="5"/>
        <v/>
      </c>
      <c r="E67" s="487"/>
      <c r="F67" s="488"/>
      <c r="G67" s="488"/>
      <c r="H67" s="488"/>
      <c r="I67" s="489"/>
      <c r="J67" s="218"/>
      <c r="K67" s="216"/>
      <c r="L67" s="499"/>
      <c r="M67" s="500"/>
      <c r="N67" s="501"/>
      <c r="O67" s="153"/>
      <c r="P67" s="153"/>
      <c r="Q67" s="153"/>
      <c r="R67" s="153"/>
      <c r="S67" s="153"/>
      <c r="T67" s="153"/>
      <c r="U67" s="153"/>
      <c r="V67" s="153"/>
      <c r="W67" s="153"/>
      <c r="X67" s="153"/>
      <c r="Y67" s="153"/>
      <c r="Z67" s="153"/>
      <c r="AA67" s="153"/>
      <c r="AB67" s="153"/>
      <c r="AC67" s="153"/>
      <c r="AD67" s="153"/>
      <c r="AE67" s="153"/>
      <c r="AF67" s="153"/>
      <c r="AG67" s="153"/>
      <c r="AH67" s="153"/>
      <c r="AI67" s="153"/>
      <c r="AJ67" s="153"/>
      <c r="AK67" s="153"/>
      <c r="AL67" s="153"/>
      <c r="AM67" s="153"/>
      <c r="AN67" s="153"/>
      <c r="AO67" s="153"/>
      <c r="AP67" s="153"/>
      <c r="AQ67" s="153"/>
      <c r="AR67" s="153"/>
      <c r="AS67" s="153"/>
      <c r="AT67" s="153"/>
      <c r="AU67" s="153"/>
      <c r="AV67" s="153"/>
      <c r="AW67" s="153"/>
      <c r="AX67" s="153"/>
      <c r="AY67" s="153"/>
    </row>
    <row r="68" spans="1:51" ht="21.95" customHeight="1" thickBot="1" x14ac:dyDescent="0.25">
      <c r="B68" s="43" t="str">
        <f t="shared" si="3"/>
        <v/>
      </c>
      <c r="C68" s="57" t="str">
        <f t="shared" si="4"/>
        <v/>
      </c>
      <c r="D68" s="58" t="str">
        <f t="shared" si="5"/>
        <v/>
      </c>
      <c r="E68" s="490"/>
      <c r="F68" s="491"/>
      <c r="G68" s="491"/>
      <c r="H68" s="491"/>
      <c r="I68" s="492"/>
      <c r="J68" s="219"/>
      <c r="K68" s="38" t="str">
        <f>IF($K$5="Deutsch","Datum",IF($K$5="English","Date",IF($K$5="Français","Date",IF($K$5="Portugues","Data",IF($K$5="中文","Date")))))</f>
        <v>Date</v>
      </c>
      <c r="L68" s="502" t="str">
        <f>IF($K$5="Deutsch","Logistik",IF($K$5="English","Logistics",IF($K$5="Français","Logistique",IF($K$5="Portugues","Logistica",IF($K$5="中文","後勤")))))</f>
        <v>Logistics</v>
      </c>
      <c r="M68" s="503"/>
      <c r="N68" s="504"/>
      <c r="O68" s="153"/>
      <c r="P68" s="153"/>
      <c r="Q68" s="153"/>
      <c r="R68" s="153"/>
      <c r="S68" s="153"/>
      <c r="T68" s="153"/>
      <c r="U68" s="153"/>
      <c r="V68" s="153"/>
      <c r="W68" s="153"/>
      <c r="X68" s="153"/>
      <c r="Y68" s="153"/>
      <c r="Z68" s="153"/>
      <c r="AA68" s="153"/>
      <c r="AB68" s="153"/>
      <c r="AC68" s="153"/>
      <c r="AD68" s="153"/>
      <c r="AE68" s="153"/>
      <c r="AF68" s="153"/>
      <c r="AG68" s="153"/>
      <c r="AH68" s="153"/>
      <c r="AI68" s="153"/>
      <c r="AJ68" s="153"/>
      <c r="AK68" s="153"/>
      <c r="AL68" s="153"/>
      <c r="AM68" s="153"/>
      <c r="AN68" s="153"/>
      <c r="AO68" s="153"/>
      <c r="AP68" s="153"/>
      <c r="AQ68" s="153"/>
      <c r="AR68" s="153"/>
      <c r="AS68" s="153"/>
      <c r="AT68" s="153"/>
      <c r="AU68" s="153"/>
      <c r="AV68" s="153"/>
      <c r="AW68" s="153"/>
      <c r="AX68" s="153"/>
      <c r="AY68" s="153"/>
    </row>
    <row r="69" spans="1:51" ht="9" customHeight="1" thickBot="1" x14ac:dyDescent="0.25">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153"/>
      <c r="AY69" s="153"/>
    </row>
    <row r="70" spans="1:51" ht="24" customHeight="1" x14ac:dyDescent="0.2">
      <c r="B70" s="478" t="str">
        <f>IF($K$5="Deutsch","Die Einhaltung der Restschmutzanforderungen lt. Kundenzeichnung wird durch das gewählte Verpackungskonzept sichergestellt. Auf Sauberkeit der Verpackung ist zu achten.",IF($K$5="English","This Packaging Data Sheet complies to the cleanliness requirements of the customer drawing. Packaging components need to be clean.",IF($K$5="Français","Le respect des critèere de propoté d'après le plan client doit être garanti par le concept d'emballage choisi.                                                                                                 La propreté des emballages est à surveiller.",IF($K$5="Portugues","Esta Instrucao da Embalagem cumpre os requisitos do cliente para a limpeza da embalagem. Os componentes de embalagens devem estar limpos.",IF($K$5="中文","包装材料必须保持清洁")))))</f>
        <v>This Packaging Data Sheet complies to the cleanliness requirements of the customer drawing. Packaging components need to be clean.</v>
      </c>
      <c r="C70" s="479"/>
      <c r="D70" s="479"/>
      <c r="E70" s="479"/>
      <c r="F70" s="479"/>
      <c r="G70" s="479"/>
      <c r="H70" s="479"/>
      <c r="I70" s="479"/>
      <c r="J70" s="479"/>
      <c r="K70" s="479"/>
      <c r="L70" s="479"/>
      <c r="M70" s="479"/>
      <c r="N70" s="480"/>
      <c r="O70" s="153"/>
      <c r="P70" s="153"/>
      <c r="Q70" s="153"/>
      <c r="R70" s="153"/>
      <c r="S70" s="153"/>
      <c r="T70" s="153"/>
      <c r="U70" s="153"/>
      <c r="V70" s="153"/>
      <c r="W70" s="153"/>
      <c r="X70" s="153"/>
      <c r="Y70" s="153"/>
      <c r="Z70" s="153"/>
      <c r="AA70" s="153"/>
      <c r="AB70" s="153"/>
      <c r="AC70" s="153"/>
      <c r="AD70" s="153"/>
      <c r="AE70" s="153"/>
      <c r="AF70" s="153"/>
      <c r="AG70" s="153"/>
      <c r="AH70" s="153"/>
      <c r="AI70" s="153"/>
      <c r="AJ70" s="153"/>
      <c r="AK70" s="153"/>
      <c r="AL70" s="153"/>
      <c r="AM70" s="153"/>
      <c r="AN70" s="153"/>
      <c r="AO70" s="153"/>
      <c r="AP70" s="153"/>
      <c r="AQ70" s="153"/>
      <c r="AR70" s="153"/>
      <c r="AS70" s="153"/>
      <c r="AT70" s="153"/>
      <c r="AU70" s="153"/>
      <c r="AV70" s="153"/>
      <c r="AW70" s="153"/>
      <c r="AX70" s="153"/>
      <c r="AY70" s="153"/>
    </row>
    <row r="71" spans="1:51" ht="21" customHeight="1" thickBot="1" x14ac:dyDescent="0.25">
      <c r="A71" s="31"/>
      <c r="B71" s="481"/>
      <c r="C71" s="482"/>
      <c r="D71" s="482"/>
      <c r="E71" s="482"/>
      <c r="F71" s="482"/>
      <c r="G71" s="482"/>
      <c r="H71" s="482"/>
      <c r="I71" s="482"/>
      <c r="J71" s="482"/>
      <c r="K71" s="482"/>
      <c r="L71" s="482"/>
      <c r="M71" s="482"/>
      <c r="N71" s="483"/>
      <c r="O71" s="153"/>
      <c r="P71" s="153"/>
      <c r="Q71" s="153"/>
      <c r="R71" s="153"/>
      <c r="S71" s="153"/>
      <c r="T71" s="153"/>
      <c r="U71" s="153"/>
      <c r="V71" s="153"/>
      <c r="W71" s="153"/>
      <c r="X71" s="153"/>
      <c r="Y71" s="153"/>
      <c r="Z71" s="153"/>
      <c r="AA71" s="153"/>
      <c r="AB71" s="153"/>
      <c r="AC71" s="153"/>
      <c r="AD71" s="153"/>
      <c r="AE71" s="153"/>
      <c r="AF71" s="153"/>
      <c r="AG71" s="153"/>
      <c r="AH71" s="153"/>
      <c r="AI71" s="153"/>
      <c r="AJ71" s="153"/>
      <c r="AK71" s="153"/>
      <c r="AL71" s="153"/>
      <c r="AM71" s="153"/>
      <c r="AN71" s="153"/>
      <c r="AO71" s="153"/>
      <c r="AP71" s="153"/>
      <c r="AQ71" s="153"/>
      <c r="AR71" s="153"/>
      <c r="AS71" s="153"/>
      <c r="AT71" s="153"/>
      <c r="AU71" s="153"/>
      <c r="AV71" s="153"/>
      <c r="AW71" s="153"/>
      <c r="AX71" s="153"/>
      <c r="AY71" s="153"/>
    </row>
    <row r="72" spans="1:51" ht="9.75" customHeight="1" x14ac:dyDescent="0.2">
      <c r="A72" s="31"/>
      <c r="B72" s="31"/>
      <c r="C72" s="31"/>
      <c r="D72" s="31"/>
      <c r="E72" s="31"/>
      <c r="F72" s="31"/>
      <c r="G72" s="31"/>
      <c r="H72" s="31"/>
      <c r="I72" s="31"/>
      <c r="J72" s="31"/>
      <c r="K72" s="31"/>
      <c r="L72" s="31"/>
      <c r="M72" s="31"/>
      <c r="N72" s="31"/>
      <c r="O72" s="153"/>
      <c r="P72" s="153"/>
      <c r="Q72" s="153"/>
      <c r="R72" s="153"/>
      <c r="S72" s="153"/>
      <c r="T72" s="153"/>
      <c r="U72" s="153"/>
      <c r="V72" s="153"/>
      <c r="W72" s="153"/>
      <c r="X72" s="153"/>
      <c r="Y72" s="153"/>
      <c r="Z72" s="153"/>
      <c r="AA72" s="153"/>
      <c r="AB72" s="153"/>
      <c r="AC72" s="153"/>
      <c r="AD72" s="153"/>
      <c r="AE72" s="153"/>
      <c r="AF72" s="153"/>
      <c r="AG72" s="153"/>
      <c r="AH72" s="153"/>
      <c r="AI72" s="153"/>
      <c r="AJ72" s="153"/>
      <c r="AK72" s="153"/>
      <c r="AL72" s="153"/>
      <c r="AM72" s="153"/>
      <c r="AN72" s="153"/>
      <c r="AO72" s="153"/>
      <c r="AP72" s="153"/>
      <c r="AQ72" s="153"/>
      <c r="AR72" s="153"/>
      <c r="AS72" s="153"/>
      <c r="AT72" s="153"/>
      <c r="AU72" s="153"/>
      <c r="AV72" s="153"/>
      <c r="AW72" s="153"/>
      <c r="AX72" s="153"/>
      <c r="AY72" s="153"/>
    </row>
    <row r="73" spans="1:51" ht="13.5" customHeight="1" x14ac:dyDescent="0.2">
      <c r="A73" s="31"/>
      <c r="B73" s="31"/>
      <c r="C73" s="31"/>
      <c r="D73" s="31"/>
      <c r="E73" s="31"/>
      <c r="F73" s="31"/>
      <c r="G73" s="31"/>
      <c r="H73" s="31"/>
      <c r="K73" s="31"/>
      <c r="L73" s="31"/>
      <c r="M73" s="92" t="str">
        <f>IF($K$5="Deutsch","Seite",IF($K$5="English","Page",IF($K$5="Français","Page",IF($K$5="Portugues","Pagina",IF($K$5="中文","page",IF($K$5="हिन्दी","page"))))))</f>
        <v>Page</v>
      </c>
      <c r="N73" s="93" t="s">
        <v>63</v>
      </c>
      <c r="O73" s="153"/>
      <c r="P73" s="153"/>
      <c r="Q73" s="153"/>
      <c r="R73" s="153"/>
      <c r="S73" s="153"/>
      <c r="T73" s="153"/>
      <c r="U73" s="153"/>
      <c r="V73" s="153"/>
      <c r="W73" s="153"/>
      <c r="X73" s="153"/>
      <c r="Y73" s="153"/>
      <c r="Z73" s="153"/>
      <c r="AA73" s="153"/>
      <c r="AB73" s="153"/>
      <c r="AC73" s="153"/>
      <c r="AD73" s="153"/>
      <c r="AE73" s="153"/>
      <c r="AF73" s="153"/>
      <c r="AG73" s="153"/>
      <c r="AH73" s="153"/>
      <c r="AI73" s="153"/>
      <c r="AJ73" s="153"/>
      <c r="AK73" s="153"/>
      <c r="AL73" s="153"/>
      <c r="AM73" s="153"/>
      <c r="AN73" s="153"/>
      <c r="AO73" s="153"/>
      <c r="AP73" s="153"/>
      <c r="AQ73" s="153"/>
      <c r="AR73" s="153"/>
      <c r="AS73" s="153"/>
      <c r="AT73" s="153"/>
      <c r="AU73" s="153"/>
      <c r="AV73" s="153"/>
      <c r="AW73" s="153"/>
      <c r="AX73" s="153"/>
      <c r="AY73" s="153"/>
    </row>
    <row r="74" spans="1:51" ht="10.5" customHeight="1" x14ac:dyDescent="0.2">
      <c r="A74" s="31"/>
      <c r="B74" s="31"/>
      <c r="C74" s="31"/>
      <c r="D74" s="31"/>
      <c r="E74" s="31"/>
      <c r="F74" s="31"/>
      <c r="G74" s="31"/>
      <c r="H74" s="31"/>
      <c r="I74" s="31"/>
      <c r="J74" s="31"/>
      <c r="K74" s="31"/>
      <c r="L74" s="31"/>
      <c r="M74" s="31"/>
      <c r="N74" s="31"/>
      <c r="O74" s="153"/>
      <c r="P74" s="153"/>
      <c r="Q74" s="153"/>
      <c r="R74" s="153"/>
      <c r="S74" s="153"/>
      <c r="T74" s="153"/>
      <c r="U74" s="153"/>
      <c r="V74" s="153"/>
      <c r="W74" s="153"/>
      <c r="X74" s="153"/>
      <c r="Y74" s="153"/>
      <c r="Z74" s="153"/>
      <c r="AA74" s="153"/>
      <c r="AB74" s="153"/>
      <c r="AC74" s="153"/>
      <c r="AD74" s="153"/>
      <c r="AE74" s="153"/>
      <c r="AF74" s="153"/>
      <c r="AG74" s="153"/>
      <c r="AH74" s="153"/>
      <c r="AI74" s="153"/>
      <c r="AJ74" s="153"/>
      <c r="AK74" s="153"/>
      <c r="AL74" s="153"/>
      <c r="AM74" s="153"/>
      <c r="AN74" s="153"/>
      <c r="AO74" s="153"/>
      <c r="AP74" s="153"/>
      <c r="AQ74" s="153"/>
      <c r="AR74" s="153"/>
      <c r="AS74" s="153"/>
      <c r="AT74" s="153"/>
      <c r="AU74" s="153"/>
      <c r="AV74" s="153"/>
      <c r="AW74" s="153"/>
      <c r="AX74" s="153"/>
      <c r="AY74" s="153"/>
    </row>
    <row r="75" spans="1:51" ht="10.5" customHeight="1" x14ac:dyDescent="0.2">
      <c r="A75" s="31"/>
      <c r="B75" s="31"/>
      <c r="C75" s="31"/>
      <c r="D75" s="31"/>
      <c r="E75" s="31"/>
      <c r="F75" s="31"/>
      <c r="G75" s="31"/>
      <c r="H75" s="31"/>
      <c r="I75" s="31"/>
      <c r="J75" s="31"/>
      <c r="K75" s="31"/>
      <c r="L75" s="31"/>
      <c r="M75" s="31"/>
      <c r="N75" s="31"/>
      <c r="O75" s="153"/>
      <c r="P75" s="153"/>
      <c r="Q75" s="153"/>
      <c r="R75" s="153"/>
      <c r="S75" s="153"/>
      <c r="T75" s="153"/>
      <c r="U75" s="153"/>
      <c r="V75" s="153"/>
      <c r="W75" s="153"/>
      <c r="X75" s="153"/>
      <c r="Y75" s="153"/>
      <c r="Z75" s="153"/>
      <c r="AA75" s="153"/>
      <c r="AB75" s="153"/>
      <c r="AC75" s="153"/>
      <c r="AD75" s="153"/>
      <c r="AE75" s="153"/>
      <c r="AF75" s="153"/>
      <c r="AG75" s="153"/>
      <c r="AH75" s="153"/>
      <c r="AI75" s="153"/>
      <c r="AJ75" s="153"/>
      <c r="AK75" s="153"/>
      <c r="AL75" s="153"/>
      <c r="AM75" s="153"/>
      <c r="AN75" s="153"/>
      <c r="AO75" s="153"/>
      <c r="AP75" s="153"/>
      <c r="AQ75" s="153"/>
      <c r="AR75" s="153"/>
      <c r="AS75" s="153"/>
      <c r="AT75" s="153"/>
      <c r="AU75" s="153"/>
      <c r="AV75" s="153"/>
      <c r="AW75" s="153"/>
      <c r="AX75" s="153"/>
      <c r="AY75" s="153"/>
    </row>
    <row r="76" spans="1:51" ht="10.5" customHeight="1" thickBot="1" x14ac:dyDescent="0.25">
      <c r="A76" s="31"/>
      <c r="B76" s="31"/>
      <c r="C76" s="31"/>
      <c r="D76" s="31"/>
      <c r="E76" s="31"/>
      <c r="F76" s="31"/>
      <c r="G76" s="31"/>
      <c r="H76" s="31"/>
      <c r="I76" s="31"/>
      <c r="J76" s="31"/>
      <c r="K76" s="31"/>
      <c r="L76" s="31"/>
      <c r="M76" s="31"/>
      <c r="N76" s="31"/>
      <c r="O76" s="153"/>
      <c r="P76" s="153"/>
      <c r="Q76" s="153"/>
      <c r="R76" s="153"/>
      <c r="S76" s="153"/>
      <c r="T76" s="153"/>
      <c r="U76" s="153"/>
      <c r="V76" s="153"/>
      <c r="W76" s="153"/>
      <c r="X76" s="153"/>
      <c r="Y76" s="153"/>
      <c r="Z76" s="153"/>
      <c r="AA76" s="153"/>
      <c r="AB76" s="153"/>
      <c r="AC76" s="153"/>
      <c r="AD76" s="153"/>
      <c r="AE76" s="153"/>
      <c r="AF76" s="153"/>
      <c r="AG76" s="153"/>
      <c r="AH76" s="153"/>
      <c r="AI76" s="153"/>
      <c r="AJ76" s="153"/>
      <c r="AK76" s="153"/>
      <c r="AL76" s="153"/>
      <c r="AM76" s="153"/>
      <c r="AN76" s="153"/>
      <c r="AO76" s="153"/>
      <c r="AP76" s="153"/>
      <c r="AQ76" s="153"/>
      <c r="AR76" s="153"/>
      <c r="AS76" s="153"/>
      <c r="AT76" s="153"/>
      <c r="AU76" s="153"/>
      <c r="AV76" s="153"/>
      <c r="AW76" s="153"/>
      <c r="AX76" s="153"/>
      <c r="AY76" s="153"/>
    </row>
    <row r="77" spans="1:51" ht="12.75" customHeight="1" x14ac:dyDescent="0.2">
      <c r="A77" s="31"/>
      <c r="B77" s="448" t="str">
        <f>IF(B6="","",B6)</f>
        <v/>
      </c>
      <c r="C77" s="449"/>
      <c r="D77" s="449"/>
      <c r="E77" s="449"/>
      <c r="F77" s="450"/>
      <c r="N77" s="31"/>
      <c r="O77" s="153"/>
      <c r="P77" s="153"/>
      <c r="Q77" s="153"/>
      <c r="R77" s="153"/>
      <c r="S77" s="153"/>
      <c r="T77" s="153"/>
      <c r="U77" s="153"/>
      <c r="V77" s="153"/>
      <c r="W77" s="153"/>
      <c r="X77" s="153"/>
      <c r="Y77" s="153"/>
      <c r="Z77" s="153"/>
      <c r="AA77" s="153"/>
      <c r="AB77" s="153"/>
      <c r="AC77" s="153"/>
      <c r="AD77" s="153"/>
      <c r="AE77" s="153"/>
      <c r="AF77" s="153"/>
      <c r="AG77" s="153"/>
      <c r="AH77" s="153"/>
      <c r="AI77" s="153"/>
      <c r="AJ77" s="153"/>
      <c r="AK77" s="153"/>
      <c r="AL77" s="153"/>
      <c r="AM77" s="153"/>
      <c r="AN77" s="153"/>
      <c r="AO77" s="153"/>
      <c r="AP77" s="153"/>
      <c r="AQ77" s="153"/>
      <c r="AR77" s="153"/>
      <c r="AS77" s="153"/>
      <c r="AT77" s="153"/>
      <c r="AU77" s="153"/>
      <c r="AV77" s="153"/>
      <c r="AW77" s="153"/>
      <c r="AX77" s="153"/>
      <c r="AY77" s="153"/>
    </row>
    <row r="78" spans="1:51" ht="15" customHeight="1" x14ac:dyDescent="0.2">
      <c r="B78" s="451"/>
      <c r="C78" s="452"/>
      <c r="D78" s="452"/>
      <c r="E78" s="452"/>
      <c r="F78" s="453"/>
      <c r="N78" s="31"/>
      <c r="O78" s="153"/>
      <c r="P78" s="153"/>
      <c r="Q78" s="153"/>
      <c r="R78" s="153"/>
      <c r="S78" s="153"/>
      <c r="T78" s="153"/>
      <c r="U78" s="153"/>
      <c r="V78" s="153"/>
      <c r="W78" s="153"/>
      <c r="X78" s="153"/>
      <c r="Y78" s="153"/>
      <c r="Z78" s="153"/>
      <c r="AA78" s="153"/>
      <c r="AB78" s="153"/>
      <c r="AC78" s="153"/>
      <c r="AD78" s="153"/>
      <c r="AE78" s="153"/>
      <c r="AF78" s="153"/>
      <c r="AG78" s="153"/>
      <c r="AH78" s="153"/>
      <c r="AI78" s="153"/>
      <c r="AJ78" s="153"/>
      <c r="AK78" s="153"/>
      <c r="AL78" s="153"/>
      <c r="AM78" s="153"/>
      <c r="AN78" s="153"/>
      <c r="AO78" s="153"/>
      <c r="AP78" s="153"/>
      <c r="AQ78" s="153"/>
      <c r="AR78" s="153"/>
      <c r="AS78" s="153"/>
      <c r="AT78" s="153"/>
      <c r="AU78" s="153"/>
      <c r="AV78" s="153"/>
      <c r="AW78" s="153"/>
      <c r="AX78" s="153"/>
      <c r="AY78" s="153"/>
    </row>
    <row r="79" spans="1:51" s="31" customFormat="1" ht="13.5" thickBot="1" x14ac:dyDescent="0.25">
      <c r="A79" s="62"/>
      <c r="B79" s="454"/>
      <c r="C79" s="455"/>
      <c r="D79" s="455"/>
      <c r="E79" s="455"/>
      <c r="F79" s="456"/>
      <c r="N79" s="62"/>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row>
    <row r="80" spans="1:51" s="31" customFormat="1" ht="6" customHeight="1" thickBot="1" x14ac:dyDescent="0.25">
      <c r="A80" s="62"/>
      <c r="N80" s="62"/>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row>
    <row r="81" spans="1:51" s="31" customFormat="1" ht="12.75" customHeight="1" x14ac:dyDescent="0.2">
      <c r="A81" s="62"/>
      <c r="B81" s="346" t="str">
        <f>IF($K$5="Deutsch","Versandvorschrift",IF($K$5="English","Packaging rules",IF($K$5="Français","Réglès d'emballage",IF($K$5="Portugues","Instrução de Embalagem",IF($K$5="中文","包装数据表",IF($K$5="हिन्दी","पैकेजिंग डाटा शीट"))))))</f>
        <v>Packaging rules</v>
      </c>
      <c r="C81" s="347"/>
      <c r="D81" s="347"/>
      <c r="E81" s="347"/>
      <c r="F81" s="347"/>
      <c r="G81" s="347"/>
      <c r="H81" s="347"/>
      <c r="I81" s="347"/>
      <c r="J81" s="347"/>
      <c r="K81" s="347"/>
      <c r="L81" s="347"/>
      <c r="M81" s="347"/>
      <c r="N81" s="348"/>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row>
    <row r="82" spans="1:51" s="31" customFormat="1" ht="21" customHeight="1" thickBot="1" x14ac:dyDescent="0.25">
      <c r="A82" s="62"/>
      <c r="B82" s="349"/>
      <c r="C82" s="350"/>
      <c r="D82" s="350"/>
      <c r="E82" s="350"/>
      <c r="F82" s="350"/>
      <c r="G82" s="350"/>
      <c r="H82" s="350"/>
      <c r="I82" s="350"/>
      <c r="J82" s="350"/>
      <c r="K82" s="350"/>
      <c r="L82" s="350"/>
      <c r="M82" s="350"/>
      <c r="N82" s="351"/>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row>
    <row r="83" spans="1:51" s="31" customFormat="1" ht="13.5" thickBot="1" x14ac:dyDescent="0.25">
      <c r="A83" s="62"/>
      <c r="N83" s="62"/>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row>
    <row r="84" spans="1:51" s="31" customFormat="1" x14ac:dyDescent="0.2">
      <c r="A84" s="62"/>
      <c r="B84" s="3" t="str">
        <f>IF($K$5="Deutsch","Lieferant",IF($K$5="English","Supplier",IF($K$5="Français","Client",IF($K$5="Portugues","Fornecedor",IF($K$5="中文","供应商",IF($K$5="हिन्दी","प्रदायक"))))))</f>
        <v>Supplier</v>
      </c>
      <c r="C84" s="250" t="str">
        <f>IF(C11="","",C11)</f>
        <v/>
      </c>
      <c r="D84" s="250"/>
      <c r="E84" s="250"/>
      <c r="F84" s="250"/>
      <c r="G84" s="250"/>
      <c r="H84" s="251"/>
      <c r="I84" s="3" t="str">
        <f>B49</f>
        <v>Gross Weight (kg/lb):</v>
      </c>
      <c r="J84" s="472" t="str">
        <f>C49</f>
        <v/>
      </c>
      <c r="K84" s="473"/>
      <c r="L84" s="473"/>
      <c r="M84" s="473"/>
      <c r="N84" s="474"/>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row>
    <row r="85" spans="1:51" s="31" customFormat="1" x14ac:dyDescent="0.2">
      <c r="A85" s="62"/>
      <c r="B85" s="2" t="str">
        <f>IF($K$5="Deutsch","Materialnummer Kunde:",IF($K$5="English","Material number Customer:",IF($K$5="Français","Référence client:",IF($K$5="Portugues","Numero cliente do material:",IF($K$5="中文","客户物料号：",IF($K$5="हिन्दी","ग्राहक सामग्री नंबर:",))))))</f>
        <v>Material number Customer:</v>
      </c>
      <c r="C85" s="220" t="str">
        <f>IF(J23="","",J23)</f>
        <v/>
      </c>
      <c r="D85" s="220"/>
      <c r="E85" s="220"/>
      <c r="F85" s="220"/>
      <c r="G85" s="220"/>
      <c r="H85" s="221"/>
      <c r="I85" s="2" t="str">
        <f>B27</f>
        <v>Stacking factor (filled):</v>
      </c>
      <c r="J85" s="221" t="str">
        <f>IF(C27="","",C27)</f>
        <v/>
      </c>
      <c r="K85" s="293"/>
      <c r="L85" s="293"/>
      <c r="M85" s="293"/>
      <c r="N85" s="294"/>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row>
    <row r="86" spans="1:51" s="31" customFormat="1" x14ac:dyDescent="0.2">
      <c r="A86" s="62"/>
      <c r="B86" s="95" t="str">
        <f>IF($K$5="Deutsch","Aussenmasse BEFÜLLT:",IF($K$5="English","Ext. dimensions FILLED:",IF($K$5="Français","Ext. dimensions UM PLEIN:",IF($K$5="Portugues","Dim. exteriores CHEIO:",IF($K$5="中文","装满的包装外部尺寸:",IF($K$5="हिन्दी","बाहरी आयाम भरा:"))))))</f>
        <v>Ext. dimensions FILLED:</v>
      </c>
      <c r="C86" s="252" t="str">
        <f>IF(E32="","",E32)</f>
        <v/>
      </c>
      <c r="D86" s="253"/>
      <c r="E86" s="254"/>
      <c r="F86" s="112" t="str">
        <f>IF(F32="","",F32)</f>
        <v/>
      </c>
      <c r="G86" s="113" t="str">
        <f>IF(G32="","",G32)</f>
        <v/>
      </c>
      <c r="H86" s="114" t="str">
        <f>IF(H32="","",H32)</f>
        <v/>
      </c>
      <c r="I86" s="96" t="str">
        <f>K26</f>
        <v>Delivery frequency:</v>
      </c>
      <c r="J86" s="399" t="str">
        <f>IF(M26="","",M26)</f>
        <v/>
      </c>
      <c r="K86" s="400"/>
      <c r="L86" s="400"/>
      <c r="M86" s="400"/>
      <c r="N86" s="401"/>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row>
    <row r="87" spans="1:51" s="31" customFormat="1" ht="13.5" thickBot="1" x14ac:dyDescent="0.25">
      <c r="A87" s="62"/>
      <c r="B87" s="94" t="str">
        <f>K32</f>
        <v>Filling qty / Handling Unit:</v>
      </c>
      <c r="C87" s="323" t="str">
        <f>IF(M32="","",M32)</f>
        <v/>
      </c>
      <c r="D87" s="324"/>
      <c r="E87" s="324"/>
      <c r="F87" s="324"/>
      <c r="G87" s="324"/>
      <c r="H87" s="325"/>
      <c r="I87" s="94" t="str">
        <f>K33</f>
        <v>Filling qty (Container/Box):</v>
      </c>
      <c r="J87" s="247" t="str">
        <f>IF(M33="","",M33)</f>
        <v/>
      </c>
      <c r="K87" s="248"/>
      <c r="L87" s="248"/>
      <c r="M87" s="248"/>
      <c r="N87" s="249"/>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row>
    <row r="88" spans="1:51" s="31" customFormat="1" x14ac:dyDescent="0.2">
      <c r="A88" s="62"/>
      <c r="N88" s="62"/>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row>
    <row r="89" spans="1:51" s="31" customFormat="1" ht="18.75" customHeight="1" x14ac:dyDescent="0.2">
      <c r="A89" s="62"/>
      <c r="B89" s="239" t="str">
        <f>IF($K$5="Deutsch","Photo 1 
Befüllung",IF($K$5="English","Photo 1
Filling",IF($K$5="Français","Photo 1
Remplissage",IF($K$5="Portugues","Imagem 1
Completa",IF($K$5="中文","图片1 
装箱")))))</f>
        <v>Photo 1
Filling</v>
      </c>
      <c r="C89" s="240"/>
      <c r="D89" s="240"/>
      <c r="E89" s="241"/>
      <c r="F89" s="144"/>
      <c r="G89" s="236" t="str">
        <f>IF($K$5="Deutsch","Kommentare Photo 1",IF($K$5="English","Comments Picture 1",IF($K$5="Français","Commentaire photo 1",IF($K$5="Portugues","Comentários imagem 1",IF($K$5="中文","注释 ""图片1")))))</f>
        <v>Comments Picture 1</v>
      </c>
      <c r="H89" s="237"/>
      <c r="I89" s="237"/>
      <c r="J89" s="237"/>
      <c r="K89" s="237"/>
      <c r="L89" s="237"/>
      <c r="M89" s="237"/>
      <c r="N89" s="238"/>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row>
    <row r="90" spans="1:51" s="31" customFormat="1" x14ac:dyDescent="0.2">
      <c r="A90" s="62"/>
      <c r="B90" s="242"/>
      <c r="C90" s="207"/>
      <c r="D90" s="207"/>
      <c r="E90" s="243"/>
      <c r="F90" s="144"/>
      <c r="G90" s="227"/>
      <c r="H90" s="228"/>
      <c r="I90" s="228"/>
      <c r="J90" s="228"/>
      <c r="K90" s="228"/>
      <c r="L90" s="228"/>
      <c r="M90" s="228"/>
      <c r="N90" s="229"/>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row>
    <row r="91" spans="1:51" s="31" customFormat="1" ht="12.75" customHeight="1" x14ac:dyDescent="0.2">
      <c r="A91" s="62"/>
      <c r="B91" s="242"/>
      <c r="C91" s="207"/>
      <c r="D91" s="207"/>
      <c r="E91" s="243"/>
      <c r="F91" s="144"/>
      <c r="G91" s="230"/>
      <c r="H91" s="231"/>
      <c r="I91" s="231"/>
      <c r="J91" s="231"/>
      <c r="K91" s="231"/>
      <c r="L91" s="231"/>
      <c r="M91" s="231"/>
      <c r="N91" s="232"/>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row>
    <row r="92" spans="1:51" s="31" customFormat="1" x14ac:dyDescent="0.2">
      <c r="A92" s="62"/>
      <c r="B92" s="242"/>
      <c r="C92" s="207"/>
      <c r="D92" s="207"/>
      <c r="E92" s="243"/>
      <c r="F92" s="144"/>
      <c r="G92" s="230"/>
      <c r="H92" s="231"/>
      <c r="I92" s="231"/>
      <c r="J92" s="231"/>
      <c r="K92" s="231"/>
      <c r="L92" s="231"/>
      <c r="M92" s="231"/>
      <c r="N92" s="232"/>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row>
    <row r="93" spans="1:51" s="31" customFormat="1" ht="12.75" customHeight="1" x14ac:dyDescent="0.2">
      <c r="A93" s="62"/>
      <c r="B93" s="242"/>
      <c r="C93" s="207"/>
      <c r="D93" s="207"/>
      <c r="E93" s="243"/>
      <c r="F93" s="144"/>
      <c r="G93" s="230"/>
      <c r="H93" s="231"/>
      <c r="I93" s="231"/>
      <c r="J93" s="231"/>
      <c r="K93" s="231"/>
      <c r="L93" s="231"/>
      <c r="M93" s="231"/>
      <c r="N93" s="232"/>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row>
    <row r="94" spans="1:51" s="31" customFormat="1" x14ac:dyDescent="0.2">
      <c r="A94" s="62"/>
      <c r="B94" s="242"/>
      <c r="C94" s="207"/>
      <c r="D94" s="207"/>
      <c r="E94" s="243"/>
      <c r="F94" s="144"/>
      <c r="G94" s="230"/>
      <c r="H94" s="231"/>
      <c r="I94" s="231"/>
      <c r="J94" s="231"/>
      <c r="K94" s="231"/>
      <c r="L94" s="231"/>
      <c r="M94" s="231"/>
      <c r="N94" s="232"/>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row>
    <row r="95" spans="1:51" s="31" customFormat="1" ht="12.75" customHeight="1" x14ac:dyDescent="0.2">
      <c r="A95" s="62"/>
      <c r="B95" s="242"/>
      <c r="C95" s="207"/>
      <c r="D95" s="207"/>
      <c r="E95" s="243"/>
      <c r="F95" s="144"/>
      <c r="G95" s="230"/>
      <c r="H95" s="231"/>
      <c r="I95" s="231"/>
      <c r="J95" s="231"/>
      <c r="K95" s="231"/>
      <c r="L95" s="231"/>
      <c r="M95" s="231"/>
      <c r="N95" s="232"/>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row>
    <row r="96" spans="1:51" s="31" customFormat="1" x14ac:dyDescent="0.2">
      <c r="A96" s="62"/>
      <c r="B96" s="242"/>
      <c r="C96" s="207"/>
      <c r="D96" s="207"/>
      <c r="E96" s="243"/>
      <c r="F96" s="144"/>
      <c r="G96" s="230"/>
      <c r="H96" s="231"/>
      <c r="I96" s="231"/>
      <c r="J96" s="231"/>
      <c r="K96" s="231"/>
      <c r="L96" s="231"/>
      <c r="M96" s="231"/>
      <c r="N96" s="232"/>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row>
    <row r="97" spans="1:51" s="31" customFormat="1" ht="12.75" customHeight="1" x14ac:dyDescent="0.2">
      <c r="A97" s="62"/>
      <c r="B97" s="242"/>
      <c r="C97" s="207"/>
      <c r="D97" s="207"/>
      <c r="E97" s="243"/>
      <c r="F97" s="144"/>
      <c r="G97" s="230"/>
      <c r="H97" s="231"/>
      <c r="I97" s="231"/>
      <c r="J97" s="231"/>
      <c r="K97" s="231"/>
      <c r="L97" s="231"/>
      <c r="M97" s="231"/>
      <c r="N97" s="232"/>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row>
    <row r="98" spans="1:51" s="31" customFormat="1" x14ac:dyDescent="0.2">
      <c r="A98" s="62"/>
      <c r="B98" s="242"/>
      <c r="C98" s="207"/>
      <c r="D98" s="207"/>
      <c r="E98" s="243"/>
      <c r="F98" s="144"/>
      <c r="G98" s="230"/>
      <c r="H98" s="231"/>
      <c r="I98" s="231"/>
      <c r="J98" s="231"/>
      <c r="K98" s="231"/>
      <c r="L98" s="231"/>
      <c r="M98" s="231"/>
      <c r="N98" s="232"/>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row>
    <row r="99" spans="1:51" s="31" customFormat="1" ht="12.75" customHeight="1" x14ac:dyDescent="0.2">
      <c r="A99" s="62"/>
      <c r="B99" s="242"/>
      <c r="C99" s="207"/>
      <c r="D99" s="207"/>
      <c r="E99" s="243"/>
      <c r="F99" s="144"/>
      <c r="G99" s="230"/>
      <c r="H99" s="231"/>
      <c r="I99" s="231"/>
      <c r="J99" s="231"/>
      <c r="K99" s="231"/>
      <c r="L99" s="231"/>
      <c r="M99" s="231"/>
      <c r="N99" s="232"/>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row>
    <row r="100" spans="1:51" s="31" customFormat="1" x14ac:dyDescent="0.2">
      <c r="A100" s="62"/>
      <c r="B100" s="242"/>
      <c r="C100" s="207"/>
      <c r="D100" s="207"/>
      <c r="E100" s="243"/>
      <c r="F100" s="144"/>
      <c r="G100" s="230"/>
      <c r="H100" s="231"/>
      <c r="I100" s="231"/>
      <c r="J100" s="231"/>
      <c r="K100" s="231"/>
      <c r="L100" s="231"/>
      <c r="M100" s="231"/>
      <c r="N100" s="232"/>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row>
    <row r="101" spans="1:51" s="31" customFormat="1" ht="12.75" customHeight="1" x14ac:dyDescent="0.2">
      <c r="A101" s="62"/>
      <c r="B101" s="242"/>
      <c r="C101" s="207"/>
      <c r="D101" s="207"/>
      <c r="E101" s="243"/>
      <c r="F101" s="144"/>
      <c r="G101" s="230"/>
      <c r="H101" s="231"/>
      <c r="I101" s="231"/>
      <c r="J101" s="231"/>
      <c r="K101" s="231"/>
      <c r="L101" s="231"/>
      <c r="M101" s="231"/>
      <c r="N101" s="232"/>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row>
    <row r="102" spans="1:51" s="31" customFormat="1" x14ac:dyDescent="0.2">
      <c r="A102" s="62"/>
      <c r="B102" s="242"/>
      <c r="C102" s="207"/>
      <c r="D102" s="207"/>
      <c r="E102" s="243"/>
      <c r="F102" s="144"/>
      <c r="G102" s="230"/>
      <c r="H102" s="231"/>
      <c r="I102" s="231"/>
      <c r="J102" s="231"/>
      <c r="K102" s="231"/>
      <c r="L102" s="231"/>
      <c r="M102" s="231"/>
      <c r="N102" s="232"/>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row>
    <row r="103" spans="1:51" s="31" customFormat="1" ht="12.75" customHeight="1" x14ac:dyDescent="0.2">
      <c r="A103" s="62"/>
      <c r="B103" s="242"/>
      <c r="C103" s="207"/>
      <c r="D103" s="207"/>
      <c r="E103" s="243"/>
      <c r="F103" s="144"/>
      <c r="G103" s="230"/>
      <c r="H103" s="231"/>
      <c r="I103" s="231"/>
      <c r="J103" s="231"/>
      <c r="K103" s="231"/>
      <c r="L103" s="231"/>
      <c r="M103" s="231"/>
      <c r="N103" s="232"/>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row>
    <row r="104" spans="1:51" s="31" customFormat="1" x14ac:dyDescent="0.2">
      <c r="A104" s="62"/>
      <c r="B104" s="242"/>
      <c r="C104" s="207"/>
      <c r="D104" s="207"/>
      <c r="E104" s="243"/>
      <c r="F104" s="144"/>
      <c r="G104" s="230"/>
      <c r="H104" s="231"/>
      <c r="I104" s="231"/>
      <c r="J104" s="231"/>
      <c r="K104" s="231"/>
      <c r="L104" s="231"/>
      <c r="M104" s="231"/>
      <c r="N104" s="232"/>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row>
    <row r="105" spans="1:51" s="31" customFormat="1" x14ac:dyDescent="0.2">
      <c r="A105" s="62"/>
      <c r="B105" s="242"/>
      <c r="C105" s="207"/>
      <c r="D105" s="207"/>
      <c r="E105" s="243"/>
      <c r="F105" s="144"/>
      <c r="G105" s="230"/>
      <c r="H105" s="231"/>
      <c r="I105" s="231"/>
      <c r="J105" s="231"/>
      <c r="K105" s="231"/>
      <c r="L105" s="231"/>
      <c r="M105" s="231"/>
      <c r="N105" s="232"/>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row>
    <row r="106" spans="1:51" s="31" customFormat="1" x14ac:dyDescent="0.2">
      <c r="A106" s="62"/>
      <c r="B106" s="244"/>
      <c r="C106" s="245"/>
      <c r="D106" s="245"/>
      <c r="E106" s="246"/>
      <c r="F106" s="144"/>
      <c r="G106" s="233"/>
      <c r="H106" s="234"/>
      <c r="I106" s="234"/>
      <c r="J106" s="234"/>
      <c r="K106" s="234"/>
      <c r="L106" s="234"/>
      <c r="M106" s="234"/>
      <c r="N106" s="235"/>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row>
    <row r="107" spans="1:51" s="31" customFormat="1" x14ac:dyDescent="0.2">
      <c r="A107" s="62"/>
      <c r="B107" s="144"/>
      <c r="C107" s="145" t="str">
        <f>IF($K$5="Deutsch","Photo 1",IF($K$5="English","Photo 1",IF($K$5="Français","Photo 1",IF($K$5="Portugues","Imagem 1",IF($K$5="中文","图片1 ")))))</f>
        <v>Photo 1</v>
      </c>
      <c r="D107" s="144"/>
      <c r="E107" s="144"/>
      <c r="F107" s="144"/>
      <c r="G107" s="144"/>
      <c r="H107" s="144"/>
      <c r="I107" s="62"/>
      <c r="J107" s="62"/>
      <c r="K107" s="62"/>
      <c r="L107" s="62"/>
      <c r="M107" s="62"/>
      <c r="N107" s="62"/>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row>
    <row r="108" spans="1:51" s="31" customFormat="1" x14ac:dyDescent="0.2">
      <c r="A108" s="62"/>
      <c r="B108" s="144"/>
      <c r="C108" s="144"/>
      <c r="D108" s="144"/>
      <c r="E108" s="144"/>
      <c r="F108" s="144"/>
      <c r="G108" s="144"/>
      <c r="H108" s="144"/>
      <c r="I108" s="62"/>
      <c r="J108" s="62"/>
      <c r="K108" s="62"/>
      <c r="L108" s="62"/>
      <c r="M108" s="62"/>
      <c r="N108" s="62"/>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row>
    <row r="109" spans="1:51" s="31" customFormat="1" ht="18" x14ac:dyDescent="0.2">
      <c r="A109" s="62"/>
      <c r="B109" s="239" t="str">
        <f>IF($K$5="Deutsch","Photo 2 
Befüllung",IF($K$5="English","Photo 2
Filling",IF($K$5="Français","Photo 2
Remplissage",IF($K$5="Portugues","Imagem 2
Completa",IF($K$5="中文","图片2
 装箱")))))</f>
        <v>Photo 2
Filling</v>
      </c>
      <c r="C109" s="240"/>
      <c r="D109" s="240"/>
      <c r="E109" s="241"/>
      <c r="F109" s="144"/>
      <c r="G109" s="236" t="str">
        <f>IF($K$5="Deutsch","Kommentare Photo 2",IF($K$5="English","Comments Picture 2",IF($K$5="Français","Commentaire photo 2",IF($K$5="Portugues","Comentários imagem 2",IF($K$5="中文","注释 ""图片2")))))</f>
        <v>Comments Picture 2</v>
      </c>
      <c r="H109" s="237"/>
      <c r="I109" s="237"/>
      <c r="J109" s="237"/>
      <c r="K109" s="237"/>
      <c r="L109" s="237"/>
      <c r="M109" s="237"/>
      <c r="N109" s="238"/>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row>
    <row r="110" spans="1:51" s="31" customFormat="1" x14ac:dyDescent="0.2">
      <c r="A110" s="62"/>
      <c r="B110" s="242"/>
      <c r="C110" s="207"/>
      <c r="D110" s="207"/>
      <c r="E110" s="243"/>
      <c r="F110" s="144"/>
      <c r="G110" s="227"/>
      <c r="H110" s="228"/>
      <c r="I110" s="228"/>
      <c r="J110" s="228"/>
      <c r="K110" s="228"/>
      <c r="L110" s="228"/>
      <c r="M110" s="228"/>
      <c r="N110" s="229"/>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row>
    <row r="111" spans="1:51" s="31" customFormat="1" x14ac:dyDescent="0.2">
      <c r="A111" s="62"/>
      <c r="B111" s="242"/>
      <c r="C111" s="207"/>
      <c r="D111" s="207"/>
      <c r="E111" s="243"/>
      <c r="F111" s="144"/>
      <c r="G111" s="230"/>
      <c r="H111" s="231"/>
      <c r="I111" s="231"/>
      <c r="J111" s="231"/>
      <c r="K111" s="231"/>
      <c r="L111" s="231"/>
      <c r="M111" s="231"/>
      <c r="N111" s="232"/>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row>
    <row r="112" spans="1:51" s="31" customFormat="1" x14ac:dyDescent="0.2">
      <c r="A112" s="62"/>
      <c r="B112" s="242"/>
      <c r="C112" s="207"/>
      <c r="D112" s="207"/>
      <c r="E112" s="243"/>
      <c r="F112" s="144"/>
      <c r="G112" s="230"/>
      <c r="H112" s="231"/>
      <c r="I112" s="231"/>
      <c r="J112" s="231"/>
      <c r="K112" s="231"/>
      <c r="L112" s="231"/>
      <c r="M112" s="231"/>
      <c r="N112" s="232"/>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row>
    <row r="113" spans="1:51" s="31" customFormat="1" x14ac:dyDescent="0.2">
      <c r="A113" s="62"/>
      <c r="B113" s="242"/>
      <c r="C113" s="207"/>
      <c r="D113" s="207"/>
      <c r="E113" s="243"/>
      <c r="F113" s="144"/>
      <c r="G113" s="230"/>
      <c r="H113" s="231"/>
      <c r="I113" s="231"/>
      <c r="J113" s="231"/>
      <c r="K113" s="231"/>
      <c r="L113" s="231"/>
      <c r="M113" s="231"/>
      <c r="N113" s="232"/>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row>
    <row r="114" spans="1:51" s="31" customFormat="1" x14ac:dyDescent="0.2">
      <c r="A114" s="62"/>
      <c r="B114" s="242"/>
      <c r="C114" s="207"/>
      <c r="D114" s="207"/>
      <c r="E114" s="243"/>
      <c r="F114" s="144"/>
      <c r="G114" s="230"/>
      <c r="H114" s="231"/>
      <c r="I114" s="231"/>
      <c r="J114" s="231"/>
      <c r="K114" s="231"/>
      <c r="L114" s="231"/>
      <c r="M114" s="231"/>
      <c r="N114" s="232"/>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row>
    <row r="115" spans="1:51" s="31" customFormat="1" x14ac:dyDescent="0.2">
      <c r="A115" s="62"/>
      <c r="B115" s="242"/>
      <c r="C115" s="207"/>
      <c r="D115" s="207"/>
      <c r="E115" s="243"/>
      <c r="F115" s="144"/>
      <c r="G115" s="230"/>
      <c r="H115" s="231"/>
      <c r="I115" s="231"/>
      <c r="J115" s="231"/>
      <c r="K115" s="231"/>
      <c r="L115" s="231"/>
      <c r="M115" s="231"/>
      <c r="N115" s="232"/>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row>
    <row r="116" spans="1:51" s="31" customFormat="1" x14ac:dyDescent="0.2">
      <c r="A116" s="62"/>
      <c r="B116" s="242"/>
      <c r="C116" s="207"/>
      <c r="D116" s="207"/>
      <c r="E116" s="243"/>
      <c r="F116" s="144"/>
      <c r="G116" s="230"/>
      <c r="H116" s="231"/>
      <c r="I116" s="231"/>
      <c r="J116" s="231"/>
      <c r="K116" s="231"/>
      <c r="L116" s="231"/>
      <c r="M116" s="231"/>
      <c r="N116" s="232"/>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row>
    <row r="117" spans="1:51" s="31" customFormat="1" x14ac:dyDescent="0.2">
      <c r="A117" s="62"/>
      <c r="B117" s="242"/>
      <c r="C117" s="207"/>
      <c r="D117" s="207"/>
      <c r="E117" s="243"/>
      <c r="F117" s="144"/>
      <c r="G117" s="230"/>
      <c r="H117" s="231"/>
      <c r="I117" s="231"/>
      <c r="J117" s="231"/>
      <c r="K117" s="231"/>
      <c r="L117" s="231"/>
      <c r="M117" s="231"/>
      <c r="N117" s="232"/>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row>
    <row r="118" spans="1:51" s="31" customFormat="1" x14ac:dyDescent="0.2">
      <c r="A118" s="62"/>
      <c r="B118" s="242"/>
      <c r="C118" s="207"/>
      <c r="D118" s="207"/>
      <c r="E118" s="243"/>
      <c r="F118" s="144"/>
      <c r="G118" s="230"/>
      <c r="H118" s="231"/>
      <c r="I118" s="231"/>
      <c r="J118" s="231"/>
      <c r="K118" s="231"/>
      <c r="L118" s="231"/>
      <c r="M118" s="231"/>
      <c r="N118" s="232"/>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row>
    <row r="119" spans="1:51" s="31" customFormat="1" x14ac:dyDescent="0.2">
      <c r="A119" s="62"/>
      <c r="B119" s="242"/>
      <c r="C119" s="207"/>
      <c r="D119" s="207"/>
      <c r="E119" s="243"/>
      <c r="F119" s="144"/>
      <c r="G119" s="230"/>
      <c r="H119" s="231"/>
      <c r="I119" s="231"/>
      <c r="J119" s="231"/>
      <c r="K119" s="231"/>
      <c r="L119" s="231"/>
      <c r="M119" s="231"/>
      <c r="N119" s="232"/>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row>
    <row r="120" spans="1:51" s="31" customFormat="1" x14ac:dyDescent="0.2">
      <c r="A120" s="62"/>
      <c r="B120" s="242"/>
      <c r="C120" s="207"/>
      <c r="D120" s="207"/>
      <c r="E120" s="243"/>
      <c r="F120" s="144"/>
      <c r="G120" s="230"/>
      <c r="H120" s="231"/>
      <c r="I120" s="231"/>
      <c r="J120" s="231"/>
      <c r="K120" s="231"/>
      <c r="L120" s="231"/>
      <c r="M120" s="231"/>
      <c r="N120" s="232"/>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row>
    <row r="121" spans="1:51" s="31" customFormat="1" x14ac:dyDescent="0.2">
      <c r="A121" s="62"/>
      <c r="B121" s="242"/>
      <c r="C121" s="207"/>
      <c r="D121" s="207"/>
      <c r="E121" s="243"/>
      <c r="F121" s="144"/>
      <c r="G121" s="230"/>
      <c r="H121" s="231"/>
      <c r="I121" s="231"/>
      <c r="J121" s="231"/>
      <c r="K121" s="231"/>
      <c r="L121" s="231"/>
      <c r="M121" s="231"/>
      <c r="N121" s="232"/>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row>
    <row r="122" spans="1:51" s="31" customFormat="1" x14ac:dyDescent="0.2">
      <c r="A122" s="62"/>
      <c r="B122" s="242"/>
      <c r="C122" s="207"/>
      <c r="D122" s="207"/>
      <c r="E122" s="243"/>
      <c r="F122" s="144"/>
      <c r="G122" s="230"/>
      <c r="H122" s="231"/>
      <c r="I122" s="231"/>
      <c r="J122" s="231"/>
      <c r="K122" s="231"/>
      <c r="L122" s="231"/>
      <c r="M122" s="231"/>
      <c r="N122" s="232"/>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row>
    <row r="123" spans="1:51" s="31" customFormat="1" x14ac:dyDescent="0.2">
      <c r="A123" s="62"/>
      <c r="B123" s="242"/>
      <c r="C123" s="207"/>
      <c r="D123" s="207"/>
      <c r="E123" s="243"/>
      <c r="F123" s="144"/>
      <c r="G123" s="230"/>
      <c r="H123" s="231"/>
      <c r="I123" s="231"/>
      <c r="J123" s="231"/>
      <c r="K123" s="231"/>
      <c r="L123" s="231"/>
      <c r="M123" s="231"/>
      <c r="N123" s="232"/>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row>
    <row r="124" spans="1:51" s="31" customFormat="1" x14ac:dyDescent="0.2">
      <c r="A124" s="62"/>
      <c r="B124" s="242"/>
      <c r="C124" s="207"/>
      <c r="D124" s="207"/>
      <c r="E124" s="243"/>
      <c r="F124" s="144"/>
      <c r="G124" s="230"/>
      <c r="H124" s="231"/>
      <c r="I124" s="231"/>
      <c r="J124" s="231"/>
      <c r="K124" s="231"/>
      <c r="L124" s="231"/>
      <c r="M124" s="231"/>
      <c r="N124" s="232"/>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row>
    <row r="125" spans="1:51" s="31" customFormat="1" x14ac:dyDescent="0.2">
      <c r="A125" s="62"/>
      <c r="B125" s="242"/>
      <c r="C125" s="207"/>
      <c r="D125" s="207"/>
      <c r="E125" s="243"/>
      <c r="F125" s="144"/>
      <c r="G125" s="230"/>
      <c r="H125" s="231"/>
      <c r="I125" s="231"/>
      <c r="J125" s="231"/>
      <c r="K125" s="231"/>
      <c r="L125" s="231"/>
      <c r="M125" s="231"/>
      <c r="N125" s="232"/>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row>
    <row r="126" spans="1:51" s="31" customFormat="1" x14ac:dyDescent="0.2">
      <c r="A126" s="62"/>
      <c r="B126" s="244"/>
      <c r="C126" s="245"/>
      <c r="D126" s="245"/>
      <c r="E126" s="246"/>
      <c r="F126" s="144"/>
      <c r="G126" s="233"/>
      <c r="H126" s="234"/>
      <c r="I126" s="234"/>
      <c r="J126" s="234"/>
      <c r="K126" s="234"/>
      <c r="L126" s="234"/>
      <c r="M126" s="234"/>
      <c r="N126" s="235"/>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row>
    <row r="127" spans="1:51" s="31" customFormat="1" x14ac:dyDescent="0.2">
      <c r="A127" s="62"/>
      <c r="B127" s="144"/>
      <c r="C127" s="145" t="str">
        <f>IF($K$5="Deutsch","Photo 2",IF($K$5="English","Photo 2",IF($K$5="Français","Photo 2",IF($K$5="Portugues","Imagem 2",IF($K$5="中文","图片2 ")))))</f>
        <v>Photo 2</v>
      </c>
      <c r="D127" s="144"/>
      <c r="E127" s="144"/>
      <c r="F127" s="144"/>
      <c r="G127" s="144"/>
      <c r="H127" s="144"/>
      <c r="I127" s="62"/>
      <c r="J127" s="62"/>
      <c r="K127" s="62"/>
      <c r="L127" s="62"/>
      <c r="M127" s="62"/>
      <c r="N127" s="62"/>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row>
    <row r="128" spans="1:51" s="31" customFormat="1" x14ac:dyDescent="0.2">
      <c r="A128" s="62"/>
      <c r="B128" s="144"/>
      <c r="C128" s="145"/>
      <c r="D128" s="144"/>
      <c r="E128" s="144"/>
      <c r="F128" s="144"/>
      <c r="G128" s="144"/>
      <c r="H128" s="144"/>
      <c r="I128" s="62"/>
      <c r="J128" s="62"/>
      <c r="K128" s="62"/>
      <c r="L128" s="62"/>
      <c r="M128" s="62"/>
      <c r="N128" s="62"/>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row>
    <row r="129" spans="1:51" s="31" customFormat="1" ht="18" x14ac:dyDescent="0.2">
      <c r="A129" s="62"/>
      <c r="B129" s="239" t="str">
        <f>IF($K$5="Deutsch","Photo 3
Befüllung",IF($K$5="English","Photo 3
Filling",IF($K$5="Français","Photo 3
Remplissage",IF($K$5="Portugues","Imagem 3
Completa",IF($K$5="中文","图片3
 装箱")))))</f>
        <v>Photo 3
Filling</v>
      </c>
      <c r="C129" s="240"/>
      <c r="D129" s="240"/>
      <c r="E129" s="241"/>
      <c r="F129" s="144"/>
      <c r="G129" s="236" t="str">
        <f>IF($K$5="Deutsch","Kommentare Photo 3",IF($K$5="English","Comments Picture 3",IF($K$5="Français","Commentaire photo 3",IF($K$5="Portugues","Comentários imagem 3",IF($K$5="中文","注释 ""图片3")))))</f>
        <v>Comments Picture 3</v>
      </c>
      <c r="H129" s="237"/>
      <c r="I129" s="237"/>
      <c r="J129" s="237"/>
      <c r="K129" s="237"/>
      <c r="L129" s="237"/>
      <c r="M129" s="237"/>
      <c r="N129" s="238"/>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row>
    <row r="130" spans="1:51" s="31" customFormat="1" x14ac:dyDescent="0.2">
      <c r="A130" s="62"/>
      <c r="B130" s="242"/>
      <c r="C130" s="207"/>
      <c r="D130" s="207"/>
      <c r="E130" s="243"/>
      <c r="F130" s="144"/>
      <c r="G130" s="227"/>
      <c r="H130" s="228"/>
      <c r="I130" s="228"/>
      <c r="J130" s="228"/>
      <c r="K130" s="228"/>
      <c r="L130" s="228"/>
      <c r="M130" s="228"/>
      <c r="N130" s="229"/>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row>
    <row r="131" spans="1:51" s="31" customFormat="1" x14ac:dyDescent="0.2">
      <c r="A131" s="62"/>
      <c r="B131" s="242"/>
      <c r="C131" s="207"/>
      <c r="D131" s="207"/>
      <c r="E131" s="243"/>
      <c r="F131" s="144"/>
      <c r="G131" s="230"/>
      <c r="H131" s="231"/>
      <c r="I131" s="231"/>
      <c r="J131" s="231"/>
      <c r="K131" s="231"/>
      <c r="L131" s="231"/>
      <c r="M131" s="231"/>
      <c r="N131" s="232"/>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row>
    <row r="132" spans="1:51" s="31" customFormat="1" x14ac:dyDescent="0.2">
      <c r="A132" s="62"/>
      <c r="B132" s="242"/>
      <c r="C132" s="207"/>
      <c r="D132" s="207"/>
      <c r="E132" s="243"/>
      <c r="F132" s="144"/>
      <c r="G132" s="230"/>
      <c r="H132" s="231"/>
      <c r="I132" s="231"/>
      <c r="J132" s="231"/>
      <c r="K132" s="231"/>
      <c r="L132" s="231"/>
      <c r="M132" s="231"/>
      <c r="N132" s="232"/>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row>
    <row r="133" spans="1:51" s="31" customFormat="1" x14ac:dyDescent="0.2">
      <c r="A133" s="62"/>
      <c r="B133" s="242"/>
      <c r="C133" s="207"/>
      <c r="D133" s="207"/>
      <c r="E133" s="243"/>
      <c r="F133" s="144"/>
      <c r="G133" s="230"/>
      <c r="H133" s="231"/>
      <c r="I133" s="231"/>
      <c r="J133" s="231"/>
      <c r="K133" s="231"/>
      <c r="L133" s="231"/>
      <c r="M133" s="231"/>
      <c r="N133" s="232"/>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row>
    <row r="134" spans="1:51" s="31" customFormat="1" x14ac:dyDescent="0.2">
      <c r="A134" s="62"/>
      <c r="B134" s="242"/>
      <c r="C134" s="207"/>
      <c r="D134" s="207"/>
      <c r="E134" s="243"/>
      <c r="F134" s="144"/>
      <c r="G134" s="230"/>
      <c r="H134" s="231"/>
      <c r="I134" s="231"/>
      <c r="J134" s="231"/>
      <c r="K134" s="231"/>
      <c r="L134" s="231"/>
      <c r="M134" s="231"/>
      <c r="N134" s="232"/>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row>
    <row r="135" spans="1:51" s="31" customFormat="1" x14ac:dyDescent="0.2">
      <c r="A135" s="62"/>
      <c r="B135" s="242"/>
      <c r="C135" s="207"/>
      <c r="D135" s="207"/>
      <c r="E135" s="243"/>
      <c r="F135" s="144"/>
      <c r="G135" s="230"/>
      <c r="H135" s="231"/>
      <c r="I135" s="231"/>
      <c r="J135" s="231"/>
      <c r="K135" s="231"/>
      <c r="L135" s="231"/>
      <c r="M135" s="231"/>
      <c r="N135" s="232"/>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row>
    <row r="136" spans="1:51" s="31" customFormat="1" x14ac:dyDescent="0.2">
      <c r="A136" s="62"/>
      <c r="B136" s="242"/>
      <c r="C136" s="207"/>
      <c r="D136" s="207"/>
      <c r="E136" s="243"/>
      <c r="F136" s="144"/>
      <c r="G136" s="230"/>
      <c r="H136" s="231"/>
      <c r="I136" s="231"/>
      <c r="J136" s="231"/>
      <c r="K136" s="231"/>
      <c r="L136" s="231"/>
      <c r="M136" s="231"/>
      <c r="N136" s="232"/>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row>
    <row r="137" spans="1:51" s="31" customFormat="1" x14ac:dyDescent="0.2">
      <c r="A137" s="62"/>
      <c r="B137" s="242"/>
      <c r="C137" s="207"/>
      <c r="D137" s="207"/>
      <c r="E137" s="243"/>
      <c r="F137" s="144"/>
      <c r="G137" s="230"/>
      <c r="H137" s="231"/>
      <c r="I137" s="231"/>
      <c r="J137" s="231"/>
      <c r="K137" s="231"/>
      <c r="L137" s="231"/>
      <c r="M137" s="231"/>
      <c r="N137" s="232"/>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row>
    <row r="138" spans="1:51" s="31" customFormat="1" x14ac:dyDescent="0.2">
      <c r="A138" s="62"/>
      <c r="B138" s="242"/>
      <c r="C138" s="207"/>
      <c r="D138" s="207"/>
      <c r="E138" s="243"/>
      <c r="F138" s="144"/>
      <c r="G138" s="230"/>
      <c r="H138" s="231"/>
      <c r="I138" s="231"/>
      <c r="J138" s="231"/>
      <c r="K138" s="231"/>
      <c r="L138" s="231"/>
      <c r="M138" s="231"/>
      <c r="N138" s="232"/>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row>
    <row r="139" spans="1:51" s="31" customFormat="1" x14ac:dyDescent="0.2">
      <c r="A139" s="62"/>
      <c r="B139" s="242"/>
      <c r="C139" s="207"/>
      <c r="D139" s="207"/>
      <c r="E139" s="243"/>
      <c r="F139" s="144"/>
      <c r="G139" s="230"/>
      <c r="H139" s="231"/>
      <c r="I139" s="231"/>
      <c r="J139" s="231"/>
      <c r="K139" s="231"/>
      <c r="L139" s="231"/>
      <c r="M139" s="231"/>
      <c r="N139" s="232"/>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row>
    <row r="140" spans="1:51" s="31" customFormat="1" x14ac:dyDescent="0.2">
      <c r="A140" s="62"/>
      <c r="B140" s="242"/>
      <c r="C140" s="207"/>
      <c r="D140" s="207"/>
      <c r="E140" s="243"/>
      <c r="F140" s="144"/>
      <c r="G140" s="230"/>
      <c r="H140" s="231"/>
      <c r="I140" s="231"/>
      <c r="J140" s="231"/>
      <c r="K140" s="231"/>
      <c r="L140" s="231"/>
      <c r="M140" s="231"/>
      <c r="N140" s="232"/>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row>
    <row r="141" spans="1:51" s="31" customFormat="1" x14ac:dyDescent="0.2">
      <c r="A141" s="62"/>
      <c r="B141" s="242"/>
      <c r="C141" s="207"/>
      <c r="D141" s="207"/>
      <c r="E141" s="243"/>
      <c r="F141" s="144"/>
      <c r="G141" s="230"/>
      <c r="H141" s="231"/>
      <c r="I141" s="231"/>
      <c r="J141" s="231"/>
      <c r="K141" s="231"/>
      <c r="L141" s="231"/>
      <c r="M141" s="231"/>
      <c r="N141" s="232"/>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row>
    <row r="142" spans="1:51" s="31" customFormat="1" x14ac:dyDescent="0.2">
      <c r="A142" s="62"/>
      <c r="B142" s="242"/>
      <c r="C142" s="207"/>
      <c r="D142" s="207"/>
      <c r="E142" s="243"/>
      <c r="F142" s="62"/>
      <c r="G142" s="230"/>
      <c r="H142" s="231"/>
      <c r="I142" s="231"/>
      <c r="J142" s="231"/>
      <c r="K142" s="231"/>
      <c r="L142" s="231"/>
      <c r="M142" s="231"/>
      <c r="N142" s="232"/>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row>
    <row r="143" spans="1:51" s="31" customFormat="1" x14ac:dyDescent="0.2">
      <c r="A143" s="62"/>
      <c r="B143" s="242"/>
      <c r="C143" s="207"/>
      <c r="D143" s="207"/>
      <c r="E143" s="243"/>
      <c r="F143" s="62"/>
      <c r="G143" s="230"/>
      <c r="H143" s="231"/>
      <c r="I143" s="231"/>
      <c r="J143" s="231"/>
      <c r="K143" s="231"/>
      <c r="L143" s="231"/>
      <c r="M143" s="231"/>
      <c r="N143" s="232"/>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row>
    <row r="144" spans="1:51" s="31" customFormat="1" x14ac:dyDescent="0.2">
      <c r="A144" s="62"/>
      <c r="B144" s="242"/>
      <c r="C144" s="207"/>
      <c r="D144" s="207"/>
      <c r="E144" s="243"/>
      <c r="F144" s="62"/>
      <c r="G144" s="230"/>
      <c r="H144" s="231"/>
      <c r="I144" s="231"/>
      <c r="J144" s="231"/>
      <c r="K144" s="231"/>
      <c r="L144" s="231"/>
      <c r="M144" s="231"/>
      <c r="N144" s="232"/>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row>
    <row r="145" spans="1:51" s="31" customFormat="1" x14ac:dyDescent="0.2">
      <c r="A145" s="62"/>
      <c r="B145" s="242"/>
      <c r="C145" s="207"/>
      <c r="D145" s="207"/>
      <c r="E145" s="243"/>
      <c r="F145" s="62"/>
      <c r="G145" s="230"/>
      <c r="H145" s="231"/>
      <c r="I145" s="231"/>
      <c r="J145" s="231"/>
      <c r="K145" s="231"/>
      <c r="L145" s="231"/>
      <c r="M145" s="231"/>
      <c r="N145" s="232"/>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row>
    <row r="146" spans="1:51" s="31" customFormat="1" x14ac:dyDescent="0.2">
      <c r="A146" s="62"/>
      <c r="B146" s="244"/>
      <c r="C146" s="245"/>
      <c r="D146" s="245"/>
      <c r="E146" s="246"/>
      <c r="F146" s="62"/>
      <c r="G146" s="233"/>
      <c r="H146" s="234"/>
      <c r="I146" s="234"/>
      <c r="J146" s="234"/>
      <c r="K146" s="234"/>
      <c r="L146" s="234"/>
      <c r="M146" s="234"/>
      <c r="N146" s="235"/>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row>
    <row r="147" spans="1:51" s="31" customFormat="1" x14ac:dyDescent="0.2">
      <c r="A147" s="62"/>
      <c r="B147" s="144"/>
      <c r="C147" s="145" t="str">
        <f>IF($K$5="Deutsch","Photo 3 ",IF($K$5="English","Photo 3",IF($K$5="Français","Photo 3",IF($K$5="Portugues","Imagem 3",IF($K$5="中文","图片3 ")))))</f>
        <v>Photo 3</v>
      </c>
      <c r="D147" s="144"/>
      <c r="E147" s="144"/>
      <c r="F147" s="62"/>
      <c r="G147" s="62"/>
      <c r="H147" s="62"/>
      <c r="I147" s="62"/>
      <c r="J147" s="62"/>
      <c r="K147" s="62"/>
      <c r="L147" s="62"/>
      <c r="M147" s="62"/>
      <c r="N147" s="62"/>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row>
    <row r="148" spans="1:51" s="31" customFormat="1" x14ac:dyDescent="0.2">
      <c r="A148" s="62"/>
      <c r="B148" s="62"/>
      <c r="C148" s="62"/>
      <c r="D148" s="62"/>
      <c r="E148" s="62"/>
      <c r="F148" s="62"/>
      <c r="G148" s="62"/>
      <c r="H148" s="62"/>
      <c r="I148" s="62"/>
      <c r="J148" s="62"/>
      <c r="K148" s="62"/>
      <c r="L148" s="62"/>
      <c r="M148" s="62"/>
      <c r="N148" s="62"/>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row>
    <row r="149" spans="1:51" s="31" customFormat="1" ht="18" x14ac:dyDescent="0.2">
      <c r="A149" s="62"/>
      <c r="B149" s="239" t="str">
        <f>IF($K$5="Deutsch","Photo 4
Versandbereit",IF($K$5="English","Photo 4
Ready for shipment",IF($K$5="Français","Photo 4
Prets à l'envoi",IF($K$5="Portugues","Imagem 4
Preparada para Envio",IF($K$5="中文","图片4
准备发货")))))</f>
        <v>Photo 4
Ready for shipment</v>
      </c>
      <c r="C149" s="240"/>
      <c r="D149" s="240"/>
      <c r="E149" s="241"/>
      <c r="F149" s="62"/>
      <c r="G149" s="236" t="str">
        <f>IF($K$5="Deutsch","Kommentare Photo 4",IF($K$5="English","Comments Picture 4",IF($K$5="Français","Commentaire photo 4",IF($K$5="Portugues","Comentários imagem 4",IF($K$5="中文","注释 ""图片4")))))</f>
        <v>Comments Picture 4</v>
      </c>
      <c r="H149" s="237"/>
      <c r="I149" s="237"/>
      <c r="J149" s="237"/>
      <c r="K149" s="237"/>
      <c r="L149" s="237"/>
      <c r="M149" s="237"/>
      <c r="N149" s="238"/>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row>
    <row r="150" spans="1:51" s="31" customFormat="1" x14ac:dyDescent="0.2">
      <c r="A150" s="62"/>
      <c r="B150" s="242"/>
      <c r="C150" s="207"/>
      <c r="D150" s="207"/>
      <c r="E150" s="243"/>
      <c r="F150" s="62"/>
      <c r="G150" s="227"/>
      <c r="H150" s="228"/>
      <c r="I150" s="228"/>
      <c r="J150" s="228"/>
      <c r="K150" s="228"/>
      <c r="L150" s="228"/>
      <c r="M150" s="228"/>
      <c r="N150" s="229"/>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row>
    <row r="151" spans="1:51" s="31" customFormat="1" x14ac:dyDescent="0.2">
      <c r="A151" s="62"/>
      <c r="B151" s="242"/>
      <c r="C151" s="207"/>
      <c r="D151" s="207"/>
      <c r="E151" s="243"/>
      <c r="F151" s="62"/>
      <c r="G151" s="230"/>
      <c r="H151" s="231"/>
      <c r="I151" s="231"/>
      <c r="J151" s="231"/>
      <c r="K151" s="231"/>
      <c r="L151" s="231"/>
      <c r="M151" s="231"/>
      <c r="N151" s="232"/>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row>
    <row r="152" spans="1:51" s="31" customFormat="1" x14ac:dyDescent="0.2">
      <c r="A152" s="62"/>
      <c r="B152" s="242"/>
      <c r="C152" s="207"/>
      <c r="D152" s="207"/>
      <c r="E152" s="243"/>
      <c r="F152" s="62"/>
      <c r="G152" s="230"/>
      <c r="H152" s="231"/>
      <c r="I152" s="231"/>
      <c r="J152" s="231"/>
      <c r="K152" s="231"/>
      <c r="L152" s="231"/>
      <c r="M152" s="231"/>
      <c r="N152" s="232"/>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row>
    <row r="153" spans="1:51" s="31" customFormat="1" x14ac:dyDescent="0.2">
      <c r="A153" s="62"/>
      <c r="B153" s="242"/>
      <c r="C153" s="207"/>
      <c r="D153" s="207"/>
      <c r="E153" s="243"/>
      <c r="F153" s="62"/>
      <c r="G153" s="230"/>
      <c r="H153" s="231"/>
      <c r="I153" s="231"/>
      <c r="J153" s="231"/>
      <c r="K153" s="231"/>
      <c r="L153" s="231"/>
      <c r="M153" s="231"/>
      <c r="N153" s="232"/>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row>
    <row r="154" spans="1:51" s="31" customFormat="1" x14ac:dyDescent="0.2">
      <c r="A154" s="62"/>
      <c r="B154" s="242"/>
      <c r="C154" s="207"/>
      <c r="D154" s="207"/>
      <c r="E154" s="243"/>
      <c r="F154" s="62"/>
      <c r="G154" s="230"/>
      <c r="H154" s="231"/>
      <c r="I154" s="231"/>
      <c r="J154" s="231"/>
      <c r="K154" s="231"/>
      <c r="L154" s="231"/>
      <c r="M154" s="231"/>
      <c r="N154" s="232"/>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row>
    <row r="155" spans="1:51" s="31" customFormat="1" x14ac:dyDescent="0.2">
      <c r="A155" s="62"/>
      <c r="B155" s="242"/>
      <c r="C155" s="207"/>
      <c r="D155" s="207"/>
      <c r="E155" s="243"/>
      <c r="F155" s="62"/>
      <c r="G155" s="230"/>
      <c r="H155" s="231"/>
      <c r="I155" s="231"/>
      <c r="J155" s="231"/>
      <c r="K155" s="231"/>
      <c r="L155" s="231"/>
      <c r="M155" s="231"/>
      <c r="N155" s="232"/>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row>
    <row r="156" spans="1:51" s="31" customFormat="1" x14ac:dyDescent="0.2">
      <c r="A156" s="62"/>
      <c r="B156" s="242"/>
      <c r="C156" s="207"/>
      <c r="D156" s="207"/>
      <c r="E156" s="243"/>
      <c r="F156" s="62"/>
      <c r="G156" s="230"/>
      <c r="H156" s="231"/>
      <c r="I156" s="231"/>
      <c r="J156" s="231"/>
      <c r="K156" s="231"/>
      <c r="L156" s="231"/>
      <c r="M156" s="231"/>
      <c r="N156" s="232"/>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row>
    <row r="157" spans="1:51" s="31" customFormat="1" x14ac:dyDescent="0.2">
      <c r="A157" s="62"/>
      <c r="B157" s="242"/>
      <c r="C157" s="207"/>
      <c r="D157" s="207"/>
      <c r="E157" s="243"/>
      <c r="F157" s="62"/>
      <c r="G157" s="230"/>
      <c r="H157" s="231"/>
      <c r="I157" s="231"/>
      <c r="J157" s="231"/>
      <c r="K157" s="231"/>
      <c r="L157" s="231"/>
      <c r="M157" s="231"/>
      <c r="N157" s="232"/>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row>
    <row r="158" spans="1:51" s="31" customFormat="1" x14ac:dyDescent="0.2">
      <c r="A158" s="62"/>
      <c r="B158" s="242"/>
      <c r="C158" s="207"/>
      <c r="D158" s="207"/>
      <c r="E158" s="243"/>
      <c r="F158" s="62"/>
      <c r="G158" s="230"/>
      <c r="H158" s="231"/>
      <c r="I158" s="231"/>
      <c r="J158" s="231"/>
      <c r="K158" s="231"/>
      <c r="L158" s="231"/>
      <c r="M158" s="231"/>
      <c r="N158" s="232"/>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row>
    <row r="159" spans="1:51" s="31" customFormat="1" x14ac:dyDescent="0.2">
      <c r="A159" s="62"/>
      <c r="B159" s="242"/>
      <c r="C159" s="207"/>
      <c r="D159" s="207"/>
      <c r="E159" s="243"/>
      <c r="F159" s="62"/>
      <c r="G159" s="230"/>
      <c r="H159" s="231"/>
      <c r="I159" s="231"/>
      <c r="J159" s="231"/>
      <c r="K159" s="231"/>
      <c r="L159" s="231"/>
      <c r="M159" s="231"/>
      <c r="N159" s="232"/>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row>
    <row r="160" spans="1:51" s="31" customFormat="1" x14ac:dyDescent="0.2">
      <c r="A160" s="62"/>
      <c r="B160" s="242"/>
      <c r="C160" s="207"/>
      <c r="D160" s="207"/>
      <c r="E160" s="243"/>
      <c r="F160" s="62"/>
      <c r="G160" s="230"/>
      <c r="H160" s="231"/>
      <c r="I160" s="231"/>
      <c r="J160" s="231"/>
      <c r="K160" s="231"/>
      <c r="L160" s="231"/>
      <c r="M160" s="231"/>
      <c r="N160" s="232"/>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row>
    <row r="161" spans="1:51" s="31" customFormat="1" x14ac:dyDescent="0.2">
      <c r="A161" s="62"/>
      <c r="B161" s="242"/>
      <c r="C161" s="207"/>
      <c r="D161" s="207"/>
      <c r="E161" s="243"/>
      <c r="F161" s="62"/>
      <c r="G161" s="230"/>
      <c r="H161" s="231"/>
      <c r="I161" s="231"/>
      <c r="J161" s="231"/>
      <c r="K161" s="231"/>
      <c r="L161" s="231"/>
      <c r="M161" s="231"/>
      <c r="N161" s="232"/>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row>
    <row r="162" spans="1:51" s="31" customFormat="1" x14ac:dyDescent="0.2">
      <c r="A162" s="62"/>
      <c r="B162" s="242"/>
      <c r="C162" s="207"/>
      <c r="D162" s="207"/>
      <c r="E162" s="243"/>
      <c r="F162" s="62"/>
      <c r="G162" s="230"/>
      <c r="H162" s="231"/>
      <c r="I162" s="231"/>
      <c r="J162" s="231"/>
      <c r="K162" s="231"/>
      <c r="L162" s="231"/>
      <c r="M162" s="231"/>
      <c r="N162" s="232"/>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row>
    <row r="163" spans="1:51" s="31" customFormat="1" x14ac:dyDescent="0.2">
      <c r="A163" s="62"/>
      <c r="B163" s="242"/>
      <c r="C163" s="207"/>
      <c r="D163" s="207"/>
      <c r="E163" s="243"/>
      <c r="F163" s="62"/>
      <c r="G163" s="230"/>
      <c r="H163" s="231"/>
      <c r="I163" s="231"/>
      <c r="J163" s="231"/>
      <c r="K163" s="231"/>
      <c r="L163" s="231"/>
      <c r="M163" s="231"/>
      <c r="N163" s="232"/>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row>
    <row r="164" spans="1:51" s="31" customFormat="1" x14ac:dyDescent="0.2">
      <c r="A164" s="62"/>
      <c r="B164" s="242"/>
      <c r="C164" s="207"/>
      <c r="D164" s="207"/>
      <c r="E164" s="243"/>
      <c r="F164" s="62"/>
      <c r="G164" s="230"/>
      <c r="H164" s="231"/>
      <c r="I164" s="231"/>
      <c r="J164" s="231"/>
      <c r="K164" s="231"/>
      <c r="L164" s="231"/>
      <c r="M164" s="231"/>
      <c r="N164" s="232"/>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row>
    <row r="165" spans="1:51" s="31" customFormat="1" x14ac:dyDescent="0.2">
      <c r="A165" s="62"/>
      <c r="B165" s="242"/>
      <c r="C165" s="207"/>
      <c r="D165" s="207"/>
      <c r="E165" s="243"/>
      <c r="F165" s="62"/>
      <c r="G165" s="230"/>
      <c r="H165" s="231"/>
      <c r="I165" s="231"/>
      <c r="J165" s="231"/>
      <c r="K165" s="231"/>
      <c r="L165" s="231"/>
      <c r="M165" s="231"/>
      <c r="N165" s="232"/>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row>
    <row r="166" spans="1:51" s="31" customFormat="1" x14ac:dyDescent="0.2">
      <c r="A166" s="62"/>
      <c r="B166" s="244"/>
      <c r="C166" s="245"/>
      <c r="D166" s="245"/>
      <c r="E166" s="246"/>
      <c r="F166" s="62"/>
      <c r="G166" s="233"/>
      <c r="H166" s="234"/>
      <c r="I166" s="234"/>
      <c r="J166" s="234"/>
      <c r="K166" s="234"/>
      <c r="L166" s="234"/>
      <c r="M166" s="234"/>
      <c r="N166" s="235"/>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row>
    <row r="167" spans="1:51" s="31" customFormat="1" x14ac:dyDescent="0.2">
      <c r="A167" s="62"/>
      <c r="B167" s="144"/>
      <c r="C167" s="145" t="str">
        <f>IF($K$5="Deutsch","Photo 4 ",IF($K$5="English","Photo 4",IF($K$5="Français","Photo 4",IF($K$5="Portugues","Imagem 4",IF($K$5="中文","图片4 ")))))</f>
        <v>Photo 4</v>
      </c>
      <c r="D167" s="144"/>
      <c r="E167" s="144"/>
      <c r="F167" s="62"/>
      <c r="G167" s="62"/>
      <c r="H167" s="62"/>
      <c r="I167" s="62"/>
      <c r="J167" s="62"/>
      <c r="K167" s="62"/>
      <c r="L167" s="62"/>
      <c r="M167" s="62"/>
      <c r="N167" s="62"/>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row>
    <row r="168" spans="1:51" s="31" customFormat="1" x14ac:dyDescent="0.2">
      <c r="A168" s="62"/>
      <c r="B168" s="62"/>
      <c r="C168" s="62"/>
      <c r="D168" s="62"/>
      <c r="E168" s="62"/>
      <c r="F168" s="62"/>
      <c r="G168" s="62"/>
      <c r="H168" s="62"/>
      <c r="I168" s="62"/>
      <c r="J168" s="62"/>
      <c r="K168" s="62"/>
      <c r="L168" s="62"/>
      <c r="M168" s="62"/>
      <c r="N168" s="62"/>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row>
    <row r="169" spans="1:51" s="31" customFormat="1" ht="12.75" customHeight="1" x14ac:dyDescent="0.2">
      <c r="A169" s="62"/>
      <c r="B169" s="239" t="str">
        <f>IF($K$5="Deutsch","Photo 5
Leergutrückführung",IF($K$5="English","Photo 5
Empties return",IF($K$5="Français","Photo 5
Reour des vides",IF($K$5="Portugues","Imagem 5
Vazia para Retorno",IF($K$5="中文","图片5
空箱返回")))))</f>
        <v>Photo 5
Empties return</v>
      </c>
      <c r="C169" s="240"/>
      <c r="D169" s="240"/>
      <c r="E169" s="241"/>
      <c r="F169" s="62"/>
      <c r="G169" s="236" t="str">
        <f>IF($K$5="Deutsch","Kommentare Photo 5",IF($K$5="English","Comments Picture 5",IF($K$5="Français","Commentaire photo 5",IF($K$5="Portugues","Comentários imagem 5",IF($K$5="中文","注释 ""图片5")))))</f>
        <v>Comments Picture 5</v>
      </c>
      <c r="H169" s="237"/>
      <c r="I169" s="237"/>
      <c r="J169" s="237"/>
      <c r="K169" s="237"/>
      <c r="L169" s="237"/>
      <c r="M169" s="237"/>
      <c r="N169" s="238"/>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row>
    <row r="170" spans="1:51" s="31" customFormat="1" x14ac:dyDescent="0.2">
      <c r="A170" s="62"/>
      <c r="B170" s="242"/>
      <c r="C170" s="207"/>
      <c r="D170" s="207"/>
      <c r="E170" s="243"/>
      <c r="F170" s="62"/>
      <c r="G170" s="227"/>
      <c r="H170" s="228"/>
      <c r="I170" s="228"/>
      <c r="J170" s="228"/>
      <c r="K170" s="228"/>
      <c r="L170" s="228"/>
      <c r="M170" s="228"/>
      <c r="N170" s="229"/>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row>
    <row r="171" spans="1:51" s="31" customFormat="1" x14ac:dyDescent="0.2">
      <c r="A171" s="62"/>
      <c r="B171" s="242"/>
      <c r="C171" s="207"/>
      <c r="D171" s="207"/>
      <c r="E171" s="243"/>
      <c r="F171" s="62"/>
      <c r="G171" s="230"/>
      <c r="H171" s="231"/>
      <c r="I171" s="231"/>
      <c r="J171" s="231"/>
      <c r="K171" s="231"/>
      <c r="L171" s="231"/>
      <c r="M171" s="231"/>
      <c r="N171" s="232"/>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row>
    <row r="172" spans="1:51" s="31" customFormat="1" x14ac:dyDescent="0.2">
      <c r="A172" s="62"/>
      <c r="B172" s="242"/>
      <c r="C172" s="207"/>
      <c r="D172" s="207"/>
      <c r="E172" s="243"/>
      <c r="F172" s="62"/>
      <c r="G172" s="230"/>
      <c r="H172" s="231"/>
      <c r="I172" s="231"/>
      <c r="J172" s="231"/>
      <c r="K172" s="231"/>
      <c r="L172" s="231"/>
      <c r="M172" s="231"/>
      <c r="N172" s="232"/>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row>
    <row r="173" spans="1:51" s="31" customFormat="1" x14ac:dyDescent="0.2">
      <c r="A173" s="62"/>
      <c r="B173" s="242"/>
      <c r="C173" s="207"/>
      <c r="D173" s="207"/>
      <c r="E173" s="243"/>
      <c r="F173" s="62"/>
      <c r="G173" s="230"/>
      <c r="H173" s="231"/>
      <c r="I173" s="231"/>
      <c r="J173" s="231"/>
      <c r="K173" s="231"/>
      <c r="L173" s="231"/>
      <c r="M173" s="231"/>
      <c r="N173" s="232"/>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row>
    <row r="174" spans="1:51" s="31" customFormat="1" x14ac:dyDescent="0.2">
      <c r="A174" s="62"/>
      <c r="B174" s="242"/>
      <c r="C174" s="207"/>
      <c r="D174" s="207"/>
      <c r="E174" s="243"/>
      <c r="F174" s="62"/>
      <c r="G174" s="230"/>
      <c r="H174" s="231"/>
      <c r="I174" s="231"/>
      <c r="J174" s="231"/>
      <c r="K174" s="231"/>
      <c r="L174" s="231"/>
      <c r="M174" s="231"/>
      <c r="N174" s="232"/>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row>
    <row r="175" spans="1:51" s="31" customFormat="1" x14ac:dyDescent="0.2">
      <c r="A175" s="62"/>
      <c r="B175" s="242"/>
      <c r="C175" s="207"/>
      <c r="D175" s="207"/>
      <c r="E175" s="243"/>
      <c r="F175" s="62"/>
      <c r="G175" s="230"/>
      <c r="H175" s="231"/>
      <c r="I175" s="231"/>
      <c r="J175" s="231"/>
      <c r="K175" s="231"/>
      <c r="L175" s="231"/>
      <c r="M175" s="231"/>
      <c r="N175" s="232"/>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row>
    <row r="176" spans="1:51" s="31" customFormat="1" x14ac:dyDescent="0.2">
      <c r="A176" s="62"/>
      <c r="B176" s="242"/>
      <c r="C176" s="207"/>
      <c r="D176" s="207"/>
      <c r="E176" s="243"/>
      <c r="F176" s="62"/>
      <c r="G176" s="230"/>
      <c r="H176" s="231"/>
      <c r="I176" s="231"/>
      <c r="J176" s="231"/>
      <c r="K176" s="231"/>
      <c r="L176" s="231"/>
      <c r="M176" s="231"/>
      <c r="N176" s="232"/>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row>
    <row r="177" spans="1:51" s="31" customFormat="1" x14ac:dyDescent="0.2">
      <c r="A177" s="62"/>
      <c r="B177" s="242"/>
      <c r="C177" s="207"/>
      <c r="D177" s="207"/>
      <c r="E177" s="243"/>
      <c r="F177" s="62"/>
      <c r="G177" s="230"/>
      <c r="H177" s="231"/>
      <c r="I177" s="231"/>
      <c r="J177" s="231"/>
      <c r="K177" s="231"/>
      <c r="L177" s="231"/>
      <c r="M177" s="231"/>
      <c r="N177" s="232"/>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row>
    <row r="178" spans="1:51" s="31" customFormat="1" x14ac:dyDescent="0.2">
      <c r="A178" s="62"/>
      <c r="B178" s="242"/>
      <c r="C178" s="207"/>
      <c r="D178" s="207"/>
      <c r="E178" s="243"/>
      <c r="F178" s="62"/>
      <c r="G178" s="230"/>
      <c r="H178" s="231"/>
      <c r="I178" s="231"/>
      <c r="J178" s="231"/>
      <c r="K178" s="231"/>
      <c r="L178" s="231"/>
      <c r="M178" s="231"/>
      <c r="N178" s="232"/>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row>
    <row r="179" spans="1:51" s="31" customFormat="1" x14ac:dyDescent="0.2">
      <c r="A179" s="62"/>
      <c r="B179" s="242"/>
      <c r="C179" s="207"/>
      <c r="D179" s="207"/>
      <c r="E179" s="243"/>
      <c r="F179" s="62"/>
      <c r="G179" s="230"/>
      <c r="H179" s="231"/>
      <c r="I179" s="231"/>
      <c r="J179" s="231"/>
      <c r="K179" s="231"/>
      <c r="L179" s="231"/>
      <c r="M179" s="231"/>
      <c r="N179" s="232"/>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row>
    <row r="180" spans="1:51" s="31" customFormat="1" x14ac:dyDescent="0.2">
      <c r="A180" s="62"/>
      <c r="B180" s="242"/>
      <c r="C180" s="207"/>
      <c r="D180" s="207"/>
      <c r="E180" s="243"/>
      <c r="F180" s="62"/>
      <c r="G180" s="230"/>
      <c r="H180" s="231"/>
      <c r="I180" s="231"/>
      <c r="J180" s="231"/>
      <c r="K180" s="231"/>
      <c r="L180" s="231"/>
      <c r="M180" s="231"/>
      <c r="N180" s="232"/>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row>
    <row r="181" spans="1:51" s="31" customFormat="1" x14ac:dyDescent="0.2">
      <c r="A181" s="62"/>
      <c r="B181" s="242"/>
      <c r="C181" s="207"/>
      <c r="D181" s="207"/>
      <c r="E181" s="243"/>
      <c r="F181" s="62"/>
      <c r="G181" s="230"/>
      <c r="H181" s="231"/>
      <c r="I181" s="231"/>
      <c r="J181" s="231"/>
      <c r="K181" s="231"/>
      <c r="L181" s="231"/>
      <c r="M181" s="231"/>
      <c r="N181" s="232"/>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row>
    <row r="182" spans="1:51" s="31" customFormat="1" x14ac:dyDescent="0.2">
      <c r="A182" s="62"/>
      <c r="B182" s="242"/>
      <c r="C182" s="207"/>
      <c r="D182" s="207"/>
      <c r="E182" s="243"/>
      <c r="F182" s="62"/>
      <c r="G182" s="230"/>
      <c r="H182" s="231"/>
      <c r="I182" s="231"/>
      <c r="J182" s="231"/>
      <c r="K182" s="231"/>
      <c r="L182" s="231"/>
      <c r="M182" s="231"/>
      <c r="N182" s="232"/>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row>
    <row r="183" spans="1:51" s="31" customFormat="1" x14ac:dyDescent="0.2">
      <c r="A183" s="62"/>
      <c r="B183" s="242"/>
      <c r="C183" s="207"/>
      <c r="D183" s="207"/>
      <c r="E183" s="243"/>
      <c r="F183" s="62"/>
      <c r="G183" s="230"/>
      <c r="H183" s="231"/>
      <c r="I183" s="231"/>
      <c r="J183" s="231"/>
      <c r="K183" s="231"/>
      <c r="L183" s="231"/>
      <c r="M183" s="231"/>
      <c r="N183" s="232"/>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row>
    <row r="184" spans="1:51" s="31" customFormat="1" x14ac:dyDescent="0.2">
      <c r="A184" s="62"/>
      <c r="B184" s="242"/>
      <c r="C184" s="207"/>
      <c r="D184" s="207"/>
      <c r="E184" s="243"/>
      <c r="F184" s="62"/>
      <c r="G184" s="230"/>
      <c r="H184" s="231"/>
      <c r="I184" s="231"/>
      <c r="J184" s="231"/>
      <c r="K184" s="231"/>
      <c r="L184" s="231"/>
      <c r="M184" s="231"/>
      <c r="N184" s="232"/>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row>
    <row r="185" spans="1:51" s="31" customFormat="1" x14ac:dyDescent="0.2">
      <c r="A185" s="62"/>
      <c r="B185" s="242"/>
      <c r="C185" s="207"/>
      <c r="D185" s="207"/>
      <c r="E185" s="243"/>
      <c r="F185" s="62"/>
      <c r="G185" s="230"/>
      <c r="H185" s="231"/>
      <c r="I185" s="231"/>
      <c r="J185" s="231"/>
      <c r="K185" s="231"/>
      <c r="L185" s="231"/>
      <c r="M185" s="231"/>
      <c r="N185" s="232"/>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row>
    <row r="186" spans="1:51" s="31" customFormat="1" x14ac:dyDescent="0.2">
      <c r="A186" s="62"/>
      <c r="B186" s="244"/>
      <c r="C186" s="245"/>
      <c r="D186" s="245"/>
      <c r="E186" s="246"/>
      <c r="F186" s="62"/>
      <c r="G186" s="233"/>
      <c r="H186" s="234"/>
      <c r="I186" s="234"/>
      <c r="J186" s="234"/>
      <c r="K186" s="234"/>
      <c r="L186" s="234"/>
      <c r="M186" s="234"/>
      <c r="N186" s="235"/>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row>
    <row r="187" spans="1:51" s="31" customFormat="1" x14ac:dyDescent="0.2">
      <c r="A187" s="62"/>
      <c r="B187" s="98"/>
      <c r="C187" s="99" t="str">
        <f>IF($K$5="Deutsch","Photo 5 ",IF($K$5="English","Photo 5",IF($K$5="Français","Photo 5",IF($K$5="Portugues","Imagem 5",IF($K$5="中文","图片5")))))</f>
        <v>Photo 5</v>
      </c>
      <c r="D187" s="98"/>
      <c r="E187" s="98"/>
      <c r="N187" s="62"/>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row>
    <row r="188" spans="1:51" s="31" customFormat="1" x14ac:dyDescent="0.2">
      <c r="A188" s="62"/>
      <c r="M188" s="92" t="str">
        <f>IF($K$5="Deutsch","Seite",IF($K$5="English","Page",IF($K$5="Français","Page",IF($K$5="Portugues","Pagina",IF($K$5="中文","page",IF($K$5="हिन्दी","page"))))))</f>
        <v>Page</v>
      </c>
      <c r="N188" s="93" t="s">
        <v>64</v>
      </c>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row>
    <row r="189" spans="1:51" s="31" customFormat="1" x14ac:dyDescent="0.2">
      <c r="A189" s="62"/>
      <c r="N189" s="62"/>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row>
    <row r="190" spans="1:51" s="31" customFormat="1" x14ac:dyDescent="0.2">
      <c r="A190" s="62"/>
      <c r="B190" s="82"/>
      <c r="C190" s="82"/>
      <c r="D190" s="82"/>
      <c r="E190" s="82"/>
      <c r="F190" s="82"/>
      <c r="G190" s="82"/>
      <c r="H190" s="82"/>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row>
    <row r="191" spans="1:51" s="31" customFormat="1" ht="14.25" customHeight="1" x14ac:dyDescent="0.2">
      <c r="A191" s="62"/>
      <c r="I191" s="83"/>
      <c r="J191" s="62"/>
      <c r="K191" s="62"/>
      <c r="L191" s="62"/>
      <c r="M191" s="62"/>
      <c r="N191" s="62"/>
      <c r="O191" s="160"/>
      <c r="P191" s="160"/>
      <c r="Q191" s="160"/>
      <c r="R191" s="160"/>
      <c r="S191" s="160"/>
      <c r="T191" s="160" t="s">
        <v>52</v>
      </c>
      <c r="U191" s="160" t="e">
        <f>#REF!+1</f>
        <v>#REF!</v>
      </c>
      <c r="V191" s="164"/>
      <c r="W191" s="160" t="s">
        <v>52</v>
      </c>
      <c r="X191" s="160" t="e">
        <f>#REF!+1</f>
        <v>#REF!</v>
      </c>
      <c r="Y191" s="164"/>
      <c r="Z191" s="160"/>
      <c r="AA191" s="160" t="s">
        <v>52</v>
      </c>
      <c r="AB191" s="160" t="e">
        <f>#REF!+1</f>
        <v>#REF!</v>
      </c>
      <c r="AC191" s="164"/>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row>
    <row r="192" spans="1:51" s="31" customFormat="1" ht="14.25" customHeight="1" x14ac:dyDescent="0.2">
      <c r="A192" s="62"/>
      <c r="I192" s="82"/>
      <c r="J192" s="62"/>
      <c r="K192" s="62"/>
      <c r="L192" s="62"/>
      <c r="M192" s="62"/>
      <c r="N192" s="62"/>
      <c r="O192" s="160"/>
      <c r="P192" s="160"/>
      <c r="Q192" s="160"/>
      <c r="R192" s="160"/>
      <c r="S192" s="160"/>
      <c r="T192" s="160" t="s">
        <v>52</v>
      </c>
      <c r="U192" s="160" t="e">
        <f>U191+1</f>
        <v>#REF!</v>
      </c>
      <c r="V192" s="164"/>
      <c r="W192" s="160" t="s">
        <v>52</v>
      </c>
      <c r="X192" s="160" t="e">
        <f>X191+1</f>
        <v>#REF!</v>
      </c>
      <c r="Y192" s="164"/>
      <c r="Z192" s="160"/>
      <c r="AA192" s="160" t="s">
        <v>52</v>
      </c>
      <c r="AB192" s="160" t="e">
        <f>AB191+1</f>
        <v>#REF!</v>
      </c>
      <c r="AC192" s="164"/>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row>
    <row r="193" spans="1:51" s="31" customFormat="1" ht="14.25" customHeight="1" x14ac:dyDescent="0.2">
      <c r="A193" s="62"/>
      <c r="I193" s="97"/>
      <c r="J193" s="97"/>
      <c r="K193" s="209"/>
      <c r="L193" s="210"/>
      <c r="M193" s="210"/>
      <c r="N193" s="62"/>
      <c r="O193" s="160"/>
      <c r="P193" s="160"/>
      <c r="Q193" s="160"/>
      <c r="R193" s="160"/>
      <c r="S193" s="160"/>
      <c r="T193" s="160" t="s">
        <v>52</v>
      </c>
      <c r="U193" s="160" t="e">
        <f>U192+1</f>
        <v>#REF!</v>
      </c>
      <c r="V193" s="164"/>
      <c r="W193" s="160" t="s">
        <v>52</v>
      </c>
      <c r="X193" s="160" t="e">
        <f>X192+1</f>
        <v>#REF!</v>
      </c>
      <c r="Y193" s="164"/>
      <c r="Z193" s="160"/>
      <c r="AA193" s="160" t="s">
        <v>52</v>
      </c>
      <c r="AB193" s="160" t="e">
        <f>AB192+1</f>
        <v>#REF!</v>
      </c>
      <c r="AC193" s="164"/>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row>
    <row r="194" spans="1:51" s="31" customFormat="1" ht="14.25" customHeight="1" x14ac:dyDescent="0.2">
      <c r="A194" s="62"/>
      <c r="I194" s="97"/>
      <c r="J194" s="97"/>
      <c r="K194" s="210"/>
      <c r="L194" s="210"/>
      <c r="M194" s="210"/>
      <c r="N194" s="62"/>
      <c r="O194" s="160"/>
      <c r="P194" s="160"/>
      <c r="Q194" s="160"/>
      <c r="R194" s="160"/>
      <c r="S194" s="160"/>
      <c r="T194" s="160"/>
      <c r="U194" s="160"/>
      <c r="V194" s="164"/>
      <c r="W194" s="160"/>
      <c r="X194" s="160"/>
      <c r="Y194" s="164"/>
      <c r="Z194" s="160"/>
      <c r="AA194" s="160"/>
      <c r="AB194" s="160"/>
      <c r="AC194" s="164"/>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row>
    <row r="195" spans="1:51" s="31" customFormat="1" ht="14.25" customHeight="1" x14ac:dyDescent="0.2">
      <c r="A195" s="62"/>
      <c r="B195" s="87"/>
      <c r="C195" s="87"/>
      <c r="D195" s="87"/>
      <c r="E195" s="87"/>
      <c r="F195" s="87"/>
      <c r="G195" s="87"/>
      <c r="H195" s="87"/>
      <c r="I195" s="84"/>
      <c r="J195" s="84"/>
      <c r="K195" s="84"/>
      <c r="L195" s="84"/>
      <c r="M195" s="84"/>
      <c r="N195" s="62"/>
      <c r="O195" s="160"/>
      <c r="P195" s="160"/>
      <c r="Q195" s="160"/>
      <c r="R195" s="160"/>
      <c r="S195" s="160"/>
      <c r="T195" s="160" t="s">
        <v>52</v>
      </c>
      <c r="U195" s="160" t="e">
        <f>U193+1</f>
        <v>#REF!</v>
      </c>
      <c r="V195" s="164"/>
      <c r="W195" s="160" t="s">
        <v>52</v>
      </c>
      <c r="X195" s="160" t="e">
        <f>X193+1</f>
        <v>#REF!</v>
      </c>
      <c r="Y195" s="164"/>
      <c r="Z195" s="160"/>
      <c r="AA195" s="160" t="s">
        <v>52</v>
      </c>
      <c r="AB195" s="160" t="e">
        <f>AB193+1</f>
        <v>#REF!</v>
      </c>
      <c r="AC195" s="164"/>
      <c r="AD195" s="160"/>
      <c r="AE195" s="160"/>
      <c r="AF195" s="164"/>
      <c r="AG195" s="164"/>
      <c r="AH195" s="164"/>
      <c r="AI195" s="164"/>
      <c r="AJ195" s="164"/>
      <c r="AK195" s="164"/>
      <c r="AL195" s="164"/>
      <c r="AM195" s="164"/>
      <c r="AN195" s="164"/>
      <c r="AO195" s="164"/>
      <c r="AP195" s="160"/>
      <c r="AQ195" s="160"/>
      <c r="AR195" s="160"/>
      <c r="AS195" s="160"/>
      <c r="AT195" s="160"/>
      <c r="AU195" s="160"/>
      <c r="AV195" s="160"/>
      <c r="AW195" s="160"/>
      <c r="AX195" s="160"/>
      <c r="AY195" s="160"/>
    </row>
    <row r="196" spans="1:51" s="31" customFormat="1" ht="14.25" customHeight="1" x14ac:dyDescent="0.2">
      <c r="A196" s="62"/>
      <c r="B196" s="87"/>
      <c r="C196" s="87"/>
      <c r="D196" s="87"/>
      <c r="E196" s="87"/>
      <c r="F196" s="87"/>
      <c r="G196" s="87"/>
      <c r="H196" s="87"/>
      <c r="I196" s="91"/>
      <c r="J196" s="91"/>
      <c r="K196" s="207"/>
      <c r="L196" s="207"/>
      <c r="M196" s="213"/>
      <c r="N196" s="62"/>
      <c r="O196" s="160"/>
      <c r="P196" s="160"/>
      <c r="Q196" s="160"/>
      <c r="R196" s="160"/>
      <c r="S196" s="160"/>
      <c r="T196" s="160"/>
      <c r="U196" s="160"/>
      <c r="V196" s="164"/>
      <c r="W196" s="160"/>
      <c r="X196" s="160"/>
      <c r="Y196" s="164"/>
      <c r="Z196" s="160"/>
      <c r="AA196" s="160"/>
      <c r="AB196" s="160"/>
      <c r="AC196" s="164"/>
      <c r="AD196" s="160"/>
      <c r="AE196" s="160"/>
      <c r="AF196" s="164"/>
      <c r="AG196" s="164"/>
      <c r="AH196" s="164"/>
      <c r="AI196" s="164"/>
      <c r="AJ196" s="164"/>
      <c r="AK196" s="164"/>
      <c r="AL196" s="164"/>
      <c r="AM196" s="164"/>
      <c r="AN196" s="164"/>
      <c r="AO196" s="164"/>
      <c r="AP196" s="160"/>
      <c r="AQ196" s="160"/>
      <c r="AR196" s="160"/>
      <c r="AS196" s="160"/>
      <c r="AT196" s="160"/>
      <c r="AU196" s="160"/>
      <c r="AV196" s="160"/>
      <c r="AW196" s="160"/>
      <c r="AX196" s="160"/>
      <c r="AY196" s="160"/>
    </row>
    <row r="197" spans="1:51" s="31" customFormat="1" ht="14.25" customHeight="1" x14ac:dyDescent="0.2">
      <c r="A197" s="62"/>
      <c r="B197" s="209"/>
      <c r="C197" s="211"/>
      <c r="D197" s="209"/>
      <c r="E197" s="213"/>
      <c r="F197" s="213"/>
      <c r="G197" s="213"/>
      <c r="H197" s="97"/>
      <c r="I197" s="91"/>
      <c r="J197" s="91"/>
      <c r="K197" s="207"/>
      <c r="L197" s="207"/>
      <c r="M197" s="213"/>
      <c r="N197" s="62"/>
      <c r="O197" s="160"/>
      <c r="P197" s="160"/>
      <c r="Q197" s="160"/>
      <c r="R197" s="160"/>
      <c r="S197" s="160"/>
      <c r="T197" s="160" t="s">
        <v>52</v>
      </c>
      <c r="U197" s="160" t="e">
        <f>U195+1</f>
        <v>#REF!</v>
      </c>
      <c r="V197" s="164"/>
      <c r="W197" s="160" t="s">
        <v>52</v>
      </c>
      <c r="X197" s="160" t="e">
        <f>X195+1</f>
        <v>#REF!</v>
      </c>
      <c r="Y197" s="164"/>
      <c r="Z197" s="160"/>
      <c r="AA197" s="160" t="s">
        <v>52</v>
      </c>
      <c r="AB197" s="160" t="e">
        <f>AB195+1</f>
        <v>#REF!</v>
      </c>
      <c r="AC197" s="164"/>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row>
    <row r="198" spans="1:51" s="31" customFormat="1" ht="14.25" customHeight="1" x14ac:dyDescent="0.2">
      <c r="A198" s="62"/>
      <c r="B198" s="212"/>
      <c r="C198" s="211"/>
      <c r="D198" s="213"/>
      <c r="E198" s="213"/>
      <c r="F198" s="213"/>
      <c r="G198" s="213"/>
      <c r="H198" s="97"/>
      <c r="I198" s="91"/>
      <c r="J198" s="91"/>
      <c r="K198" s="207"/>
      <c r="L198" s="207"/>
      <c r="M198" s="213"/>
      <c r="N198" s="62"/>
      <c r="O198" s="160"/>
      <c r="P198" s="160"/>
      <c r="Q198" s="160"/>
      <c r="R198" s="160"/>
      <c r="S198" s="160"/>
      <c r="T198" s="160"/>
      <c r="U198" s="160"/>
      <c r="V198" s="164"/>
      <c r="W198" s="160"/>
      <c r="X198" s="160"/>
      <c r="Y198" s="164"/>
      <c r="Z198" s="160"/>
      <c r="AA198" s="160"/>
      <c r="AB198" s="160"/>
      <c r="AC198" s="164"/>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row>
    <row r="199" spans="1:51" s="31" customFormat="1" ht="14.25" customHeight="1" x14ac:dyDescent="0.2">
      <c r="A199" s="62"/>
      <c r="B199" s="84"/>
      <c r="C199" s="84"/>
      <c r="D199" s="84"/>
      <c r="E199" s="84"/>
      <c r="F199" s="84"/>
      <c r="G199" s="84"/>
      <c r="H199" s="84"/>
      <c r="I199" s="91"/>
      <c r="J199" s="91"/>
      <c r="K199" s="207"/>
      <c r="L199" s="207"/>
      <c r="M199" s="213"/>
      <c r="N199" s="62"/>
      <c r="O199" s="160"/>
      <c r="P199" s="160"/>
      <c r="Q199" s="160"/>
      <c r="R199" s="160"/>
      <c r="S199" s="160"/>
      <c r="T199" s="160" t="s">
        <v>52</v>
      </c>
      <c r="U199" s="160" t="e">
        <f>U197+1</f>
        <v>#REF!</v>
      </c>
      <c r="V199" s="164"/>
      <c r="W199" s="160" t="s">
        <v>52</v>
      </c>
      <c r="X199" s="160" t="e">
        <f>X197+1</f>
        <v>#REF!</v>
      </c>
      <c r="Y199" s="164"/>
      <c r="Z199" s="160"/>
      <c r="AA199" s="160" t="s">
        <v>52</v>
      </c>
      <c r="AB199" s="160" t="e">
        <f>AB197+1</f>
        <v>#REF!</v>
      </c>
      <c r="AC199" s="164"/>
      <c r="AD199" s="160"/>
      <c r="AE199" s="160"/>
      <c r="AF199" s="165"/>
      <c r="AG199" s="165"/>
      <c r="AH199" s="165"/>
      <c r="AI199" s="165"/>
      <c r="AJ199" s="165"/>
      <c r="AK199" s="165"/>
      <c r="AL199" s="165"/>
      <c r="AM199" s="165"/>
      <c r="AN199" s="165"/>
      <c r="AO199" s="165"/>
      <c r="AP199" s="160"/>
      <c r="AQ199" s="160"/>
      <c r="AR199" s="160"/>
      <c r="AS199" s="160"/>
      <c r="AT199" s="160"/>
      <c r="AU199" s="160"/>
      <c r="AV199" s="160"/>
      <c r="AW199" s="160"/>
      <c r="AX199" s="160"/>
      <c r="AY199" s="160"/>
    </row>
    <row r="200" spans="1:51" s="31" customFormat="1" ht="14.25" customHeight="1" x14ac:dyDescent="0.2">
      <c r="A200" s="62"/>
      <c r="B200" s="207"/>
      <c r="C200" s="208"/>
      <c r="D200" s="207"/>
      <c r="E200" s="213"/>
      <c r="F200" s="213"/>
      <c r="G200" s="213"/>
      <c r="H200" s="91"/>
      <c r="I200" s="91"/>
      <c r="J200" s="91"/>
      <c r="K200" s="207"/>
      <c r="L200" s="207"/>
      <c r="M200" s="213"/>
      <c r="N200" s="62"/>
      <c r="O200" s="160"/>
      <c r="P200" s="160"/>
      <c r="Q200" s="160"/>
      <c r="R200" s="160"/>
      <c r="S200" s="160"/>
      <c r="T200" s="160"/>
      <c r="U200" s="160"/>
      <c r="V200" s="164"/>
      <c r="W200" s="160"/>
      <c r="X200" s="160"/>
      <c r="Y200" s="164"/>
      <c r="Z200" s="160"/>
      <c r="AA200" s="160"/>
      <c r="AB200" s="160"/>
      <c r="AC200" s="164"/>
      <c r="AD200" s="160"/>
      <c r="AE200" s="160"/>
      <c r="AF200" s="165"/>
      <c r="AG200" s="165"/>
      <c r="AH200" s="165"/>
      <c r="AI200" s="165"/>
      <c r="AJ200" s="165"/>
      <c r="AK200" s="165"/>
      <c r="AL200" s="165"/>
      <c r="AM200" s="165"/>
      <c r="AN200" s="165"/>
      <c r="AO200" s="165"/>
      <c r="AP200" s="160"/>
      <c r="AQ200" s="160"/>
      <c r="AR200" s="160"/>
      <c r="AS200" s="160"/>
      <c r="AT200" s="160"/>
      <c r="AU200" s="160"/>
      <c r="AV200" s="160"/>
      <c r="AW200" s="160"/>
      <c r="AX200" s="160"/>
      <c r="AY200" s="160"/>
    </row>
    <row r="201" spans="1:51" s="31" customFormat="1" ht="14.25" customHeight="1" x14ac:dyDescent="0.2">
      <c r="A201" s="62"/>
      <c r="B201" s="208"/>
      <c r="C201" s="208"/>
      <c r="D201" s="213"/>
      <c r="E201" s="213"/>
      <c r="F201" s="213"/>
      <c r="G201" s="213"/>
      <c r="H201" s="91"/>
      <c r="I201" s="91"/>
      <c r="J201" s="91"/>
      <c r="K201" s="207"/>
      <c r="L201" s="207"/>
      <c r="M201" s="213"/>
      <c r="N201" s="62"/>
      <c r="O201" s="160"/>
      <c r="P201" s="160"/>
      <c r="Q201" s="160"/>
      <c r="R201" s="160"/>
      <c r="S201" s="160"/>
      <c r="T201" s="160" t="s">
        <v>52</v>
      </c>
      <c r="U201" s="160" t="e">
        <f>U199+1</f>
        <v>#REF!</v>
      </c>
      <c r="V201" s="164"/>
      <c r="W201" s="160" t="s">
        <v>52</v>
      </c>
      <c r="X201" s="160" t="e">
        <f>X199+1</f>
        <v>#REF!</v>
      </c>
      <c r="Y201" s="164"/>
      <c r="Z201" s="160"/>
      <c r="AA201" s="160" t="s">
        <v>52</v>
      </c>
      <c r="AB201" s="160" t="e">
        <f>AB199+1</f>
        <v>#REF!</v>
      </c>
      <c r="AC201" s="164"/>
      <c r="AD201" s="160"/>
      <c r="AE201" s="160"/>
      <c r="AF201" s="164"/>
      <c r="AG201" s="164"/>
      <c r="AH201" s="164"/>
      <c r="AI201" s="164"/>
      <c r="AJ201" s="164"/>
      <c r="AK201" s="164"/>
      <c r="AL201" s="164"/>
      <c r="AM201" s="164"/>
      <c r="AN201" s="164"/>
      <c r="AO201" s="164"/>
      <c r="AP201" s="160"/>
      <c r="AQ201" s="160"/>
      <c r="AR201" s="160"/>
      <c r="AS201" s="160"/>
      <c r="AT201" s="160"/>
      <c r="AU201" s="160"/>
      <c r="AV201" s="160"/>
      <c r="AW201" s="160"/>
      <c r="AX201" s="160"/>
      <c r="AY201" s="160"/>
    </row>
    <row r="202" spans="1:51" s="31" customFormat="1" ht="14.25" customHeight="1" x14ac:dyDescent="0.2">
      <c r="A202" s="62"/>
      <c r="B202" s="208"/>
      <c r="C202" s="208"/>
      <c r="D202" s="213"/>
      <c r="E202" s="213"/>
      <c r="F202" s="213"/>
      <c r="G202" s="213"/>
      <c r="H202" s="91"/>
      <c r="I202" s="91"/>
      <c r="J202" s="91"/>
      <c r="K202" s="207"/>
      <c r="L202" s="207"/>
      <c r="M202" s="213"/>
      <c r="N202" s="62"/>
      <c r="O202" s="160"/>
      <c r="P202" s="160"/>
      <c r="Q202" s="160"/>
      <c r="R202" s="160"/>
      <c r="S202" s="160"/>
      <c r="T202" s="160"/>
      <c r="U202" s="160"/>
      <c r="V202" s="164"/>
      <c r="W202" s="160"/>
      <c r="X202" s="160"/>
      <c r="Y202" s="164"/>
      <c r="Z202" s="160"/>
      <c r="AA202" s="160"/>
      <c r="AB202" s="160"/>
      <c r="AC202" s="164"/>
      <c r="AD202" s="160"/>
      <c r="AE202" s="160"/>
      <c r="AF202" s="164"/>
      <c r="AG202" s="164"/>
      <c r="AH202" s="164"/>
      <c r="AI202" s="164"/>
      <c r="AJ202" s="164"/>
      <c r="AK202" s="164"/>
      <c r="AL202" s="164"/>
      <c r="AM202" s="164"/>
      <c r="AN202" s="164"/>
      <c r="AO202" s="164"/>
      <c r="AP202" s="160"/>
      <c r="AQ202" s="160"/>
      <c r="AR202" s="160"/>
      <c r="AS202" s="160"/>
      <c r="AT202" s="160"/>
      <c r="AU202" s="160"/>
      <c r="AV202" s="160"/>
      <c r="AW202" s="160"/>
      <c r="AX202" s="160"/>
      <c r="AY202" s="160"/>
    </row>
    <row r="203" spans="1:51" s="31" customFormat="1" ht="14.25" customHeight="1" x14ac:dyDescent="0.2">
      <c r="A203" s="62"/>
      <c r="B203" s="208"/>
      <c r="C203" s="208"/>
      <c r="D203" s="213"/>
      <c r="E203" s="213"/>
      <c r="F203" s="213"/>
      <c r="G203" s="213"/>
      <c r="H203" s="91"/>
      <c r="I203" s="91"/>
      <c r="J203" s="91"/>
      <c r="K203" s="207"/>
      <c r="L203" s="207"/>
      <c r="M203" s="213"/>
      <c r="N203" s="62"/>
      <c r="O203" s="160"/>
      <c r="P203" s="160"/>
      <c r="Q203" s="160"/>
      <c r="R203" s="160"/>
      <c r="S203" s="160"/>
      <c r="T203" s="160" t="s">
        <v>52</v>
      </c>
      <c r="U203" s="160" t="e">
        <f>U201+1</f>
        <v>#REF!</v>
      </c>
      <c r="V203" s="164"/>
      <c r="W203" s="160" t="s">
        <v>52</v>
      </c>
      <c r="X203" s="160" t="e">
        <f>X201+1</f>
        <v>#REF!</v>
      </c>
      <c r="Y203" s="164"/>
      <c r="Z203" s="160"/>
      <c r="AA203" s="160" t="s">
        <v>52</v>
      </c>
      <c r="AB203" s="160" t="e">
        <f>AB201+1</f>
        <v>#REF!</v>
      </c>
      <c r="AC203" s="164"/>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row>
    <row r="204" spans="1:51" s="31" customFormat="1" ht="14.25" customHeight="1" x14ac:dyDescent="0.2">
      <c r="A204" s="62"/>
      <c r="B204" s="208"/>
      <c r="C204" s="208"/>
      <c r="D204" s="213"/>
      <c r="E204" s="213"/>
      <c r="F204" s="213"/>
      <c r="G204" s="213"/>
      <c r="H204" s="91"/>
      <c r="I204" s="91"/>
      <c r="J204" s="91"/>
      <c r="K204" s="207"/>
      <c r="L204" s="207"/>
      <c r="M204" s="213"/>
      <c r="N204" s="62"/>
      <c r="O204" s="160"/>
      <c r="P204" s="160"/>
      <c r="Q204" s="160"/>
      <c r="R204" s="160"/>
      <c r="S204" s="160"/>
      <c r="T204" s="160"/>
      <c r="U204" s="160"/>
      <c r="V204" s="164"/>
      <c r="W204" s="160"/>
      <c r="X204" s="160"/>
      <c r="Y204" s="164"/>
      <c r="Z204" s="160"/>
      <c r="AA204" s="160"/>
      <c r="AB204" s="160"/>
      <c r="AC204" s="164"/>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row>
    <row r="205" spans="1:51" s="31" customFormat="1" ht="14.25" customHeight="1" x14ac:dyDescent="0.2">
      <c r="A205" s="62"/>
      <c r="B205" s="208"/>
      <c r="C205" s="208"/>
      <c r="D205" s="213"/>
      <c r="E205" s="213"/>
      <c r="F205" s="213"/>
      <c r="G205" s="213"/>
      <c r="H205" s="91"/>
      <c r="I205" s="91"/>
      <c r="J205" s="91"/>
      <c r="K205" s="207"/>
      <c r="L205" s="207"/>
      <c r="M205" s="213"/>
      <c r="N205" s="62"/>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row>
    <row r="206" spans="1:51" s="31" customFormat="1" ht="14.25" customHeight="1" x14ac:dyDescent="0.2">
      <c r="A206" s="62"/>
      <c r="B206" s="208"/>
      <c r="C206" s="208"/>
      <c r="D206" s="213"/>
      <c r="E206" s="213"/>
      <c r="F206" s="213"/>
      <c r="G206" s="213"/>
      <c r="H206" s="91"/>
      <c r="I206" s="100"/>
      <c r="J206" s="84"/>
      <c r="K206" s="84"/>
      <c r="L206" s="84"/>
      <c r="M206" s="84"/>
      <c r="N206" s="62"/>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row>
    <row r="207" spans="1:51" s="31" customFormat="1" ht="15" customHeight="1" x14ac:dyDescent="0.2">
      <c r="A207" s="62"/>
      <c r="B207" s="208"/>
      <c r="C207" s="208"/>
      <c r="D207" s="213"/>
      <c r="E207" s="213"/>
      <c r="F207" s="213"/>
      <c r="G207" s="213"/>
      <c r="H207" s="91"/>
      <c r="I207" s="84"/>
      <c r="J207" s="84"/>
      <c r="K207" s="84"/>
      <c r="L207" s="84"/>
      <c r="M207" s="84"/>
      <c r="N207" s="62"/>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row>
    <row r="208" spans="1:51" s="31" customFormat="1" x14ac:dyDescent="0.2">
      <c r="A208" s="62"/>
      <c r="B208" s="208"/>
      <c r="C208" s="208"/>
      <c r="D208" s="213"/>
      <c r="E208" s="213"/>
      <c r="F208" s="213"/>
      <c r="G208" s="213"/>
      <c r="H208" s="91"/>
      <c r="I208" s="84"/>
      <c r="J208" s="84"/>
      <c r="K208" s="84"/>
      <c r="L208" s="84"/>
      <c r="M208" s="84"/>
      <c r="N208" s="62"/>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row>
    <row r="209" spans="1:51" s="31" customFormat="1" ht="13.5" customHeight="1" x14ac:dyDescent="0.2">
      <c r="A209" s="62"/>
      <c r="B209" s="208"/>
      <c r="C209" s="208"/>
      <c r="D209" s="213"/>
      <c r="E209" s="213"/>
      <c r="F209" s="213"/>
      <c r="G209" s="213"/>
      <c r="H209" s="91"/>
      <c r="I209" s="84"/>
      <c r="J209" s="84"/>
      <c r="K209" s="84"/>
      <c r="L209" s="84"/>
      <c r="M209" s="84"/>
      <c r="N209" s="62"/>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row>
    <row r="210" spans="1:51" s="31" customFormat="1" x14ac:dyDescent="0.2">
      <c r="A210" s="62"/>
      <c r="B210" s="84"/>
      <c r="C210" s="84"/>
      <c r="D210" s="84"/>
      <c r="E210" s="84"/>
      <c r="F210" s="84"/>
      <c r="G210" s="84"/>
      <c r="H210" s="84"/>
      <c r="I210" s="84"/>
      <c r="J210" s="84"/>
      <c r="K210" s="84"/>
      <c r="L210" s="84"/>
      <c r="M210" s="84"/>
      <c r="N210" s="62"/>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row>
    <row r="211" spans="1:51" s="31" customFormat="1" x14ac:dyDescent="0.2">
      <c r="A211" s="62"/>
      <c r="B211" s="84"/>
      <c r="C211" s="84"/>
      <c r="D211" s="84"/>
      <c r="E211" s="84"/>
      <c r="F211" s="84"/>
      <c r="G211" s="84"/>
      <c r="H211" s="84"/>
      <c r="I211" s="84"/>
      <c r="J211" s="84"/>
      <c r="K211" s="84"/>
      <c r="L211" s="84"/>
      <c r="M211" s="84"/>
      <c r="N211" s="62"/>
      <c r="O211" s="153"/>
      <c r="P211" s="153"/>
      <c r="Q211" s="153"/>
      <c r="R211" s="153"/>
      <c r="S211" s="153"/>
      <c r="T211" s="153"/>
      <c r="U211" s="153"/>
      <c r="V211" s="153"/>
      <c r="W211" s="153"/>
      <c r="X211" s="153"/>
      <c r="Y211" s="153"/>
      <c r="Z211" s="153"/>
      <c r="AA211" s="153"/>
      <c r="AB211" s="153"/>
      <c r="AC211" s="153"/>
      <c r="AD211" s="153"/>
      <c r="AE211" s="153"/>
      <c r="AF211" s="153"/>
      <c r="AG211" s="153"/>
      <c r="AH211" s="153"/>
      <c r="AI211" s="153"/>
      <c r="AJ211" s="153"/>
      <c r="AK211" s="153"/>
      <c r="AL211" s="153"/>
      <c r="AM211" s="153"/>
      <c r="AN211" s="153"/>
      <c r="AO211" s="153"/>
      <c r="AP211" s="153"/>
      <c r="AQ211" s="153"/>
      <c r="AR211" s="153"/>
      <c r="AS211" s="153"/>
      <c r="AT211" s="153"/>
      <c r="AU211" s="160"/>
      <c r="AV211" s="160"/>
      <c r="AW211" s="160"/>
      <c r="AX211" s="160"/>
      <c r="AY211" s="160"/>
    </row>
    <row r="212" spans="1:51" s="31" customFormat="1" x14ac:dyDescent="0.2">
      <c r="A212" s="62"/>
      <c r="B212" s="84"/>
      <c r="C212" s="84"/>
      <c r="D212" s="84"/>
      <c r="E212" s="84"/>
      <c r="F212" s="84"/>
      <c r="G212" s="84"/>
      <c r="H212" s="84"/>
      <c r="I212" s="84"/>
      <c r="J212" s="84"/>
      <c r="K212" s="84"/>
      <c r="L212" s="84"/>
      <c r="M212" s="84"/>
      <c r="N212" s="62"/>
      <c r="O212" s="153"/>
      <c r="P212" s="153"/>
      <c r="Q212" s="153"/>
      <c r="R212" s="153"/>
      <c r="S212" s="153"/>
      <c r="T212" s="153"/>
      <c r="U212" s="153"/>
      <c r="V212" s="153"/>
      <c r="W212" s="153"/>
      <c r="X212" s="153"/>
      <c r="Y212" s="153"/>
      <c r="Z212" s="153"/>
      <c r="AA212" s="153"/>
      <c r="AB212" s="153"/>
      <c r="AC212" s="153"/>
      <c r="AD212" s="153"/>
      <c r="AE212" s="153"/>
      <c r="AF212" s="153"/>
      <c r="AG212" s="153"/>
      <c r="AH212" s="153"/>
      <c r="AI212" s="153"/>
      <c r="AJ212" s="153"/>
      <c r="AK212" s="153"/>
      <c r="AL212" s="153"/>
      <c r="AM212" s="153"/>
      <c r="AN212" s="153"/>
      <c r="AO212" s="153"/>
      <c r="AP212" s="153"/>
      <c r="AQ212" s="153"/>
      <c r="AR212" s="153"/>
      <c r="AS212" s="153"/>
      <c r="AT212" s="153"/>
      <c r="AU212" s="160"/>
      <c r="AV212" s="160"/>
      <c r="AW212" s="160"/>
      <c r="AX212" s="160"/>
      <c r="AY212" s="160"/>
    </row>
    <row r="213" spans="1:51" s="31" customFormat="1" x14ac:dyDescent="0.2">
      <c r="A213" s="62"/>
      <c r="B213" s="84"/>
      <c r="C213" s="84"/>
      <c r="D213" s="84"/>
      <c r="E213" s="84"/>
      <c r="F213" s="84"/>
      <c r="G213" s="84"/>
      <c r="H213" s="84"/>
      <c r="I213" s="84"/>
      <c r="J213" s="84"/>
      <c r="K213" s="84"/>
      <c r="L213" s="84"/>
      <c r="M213" s="84"/>
      <c r="N213" s="62"/>
      <c r="O213" s="153"/>
      <c r="P213" s="153"/>
      <c r="Q213" s="153"/>
      <c r="R213" s="153"/>
      <c r="S213" s="153"/>
      <c r="T213" s="153"/>
      <c r="U213" s="153"/>
      <c r="V213" s="153"/>
      <c r="W213" s="153"/>
      <c r="X213" s="153"/>
      <c r="Y213" s="153"/>
      <c r="Z213" s="153"/>
      <c r="AA213" s="153"/>
      <c r="AB213" s="153"/>
      <c r="AC213" s="153"/>
      <c r="AD213" s="153"/>
      <c r="AE213" s="153"/>
      <c r="AF213" s="153"/>
      <c r="AG213" s="153"/>
      <c r="AH213" s="153"/>
      <c r="AI213" s="153"/>
      <c r="AJ213" s="153"/>
      <c r="AK213" s="153"/>
      <c r="AL213" s="153"/>
      <c r="AM213" s="153"/>
      <c r="AN213" s="153"/>
      <c r="AO213" s="153"/>
      <c r="AP213" s="153"/>
      <c r="AQ213" s="153"/>
      <c r="AR213" s="153"/>
      <c r="AS213" s="153"/>
      <c r="AT213" s="153"/>
      <c r="AU213" s="160"/>
      <c r="AV213" s="160"/>
      <c r="AW213" s="160"/>
      <c r="AX213" s="160"/>
      <c r="AY213" s="160"/>
    </row>
    <row r="214" spans="1:51" s="31" customFormat="1" x14ac:dyDescent="0.2">
      <c r="A214" s="62"/>
      <c r="B214" s="84"/>
      <c r="C214" s="84"/>
      <c r="D214" s="84"/>
      <c r="E214" s="84"/>
      <c r="F214" s="84"/>
      <c r="G214" s="84"/>
      <c r="H214" s="84"/>
      <c r="I214" s="84"/>
      <c r="J214" s="84"/>
      <c r="K214" s="84"/>
      <c r="L214" s="84"/>
      <c r="M214" s="84"/>
      <c r="N214" s="62"/>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M214" s="153"/>
      <c r="AN214" s="153"/>
      <c r="AO214" s="153"/>
      <c r="AP214" s="153"/>
      <c r="AQ214" s="153"/>
      <c r="AR214" s="153"/>
      <c r="AS214" s="153"/>
      <c r="AT214" s="153"/>
      <c r="AU214" s="160"/>
      <c r="AV214" s="160"/>
      <c r="AW214" s="160"/>
      <c r="AX214" s="160"/>
      <c r="AY214" s="160"/>
    </row>
    <row r="215" spans="1:51" s="31" customFormat="1" x14ac:dyDescent="0.2">
      <c r="A215" s="62"/>
      <c r="B215" s="84"/>
      <c r="C215" s="84"/>
      <c r="D215" s="84"/>
      <c r="E215" s="84"/>
      <c r="F215" s="84"/>
      <c r="G215" s="84"/>
      <c r="H215" s="84"/>
      <c r="I215" s="62"/>
      <c r="J215" s="62"/>
      <c r="K215" s="62"/>
      <c r="L215" s="62"/>
      <c r="M215" s="62"/>
      <c r="N215" s="62"/>
      <c r="O215" s="153"/>
      <c r="P215" s="153"/>
      <c r="Q215" s="153"/>
      <c r="R215" s="153"/>
      <c r="S215" s="153"/>
      <c r="T215" s="153"/>
      <c r="U215" s="153"/>
      <c r="V215" s="153"/>
      <c r="W215" s="153"/>
      <c r="X215" s="153"/>
      <c r="Y215" s="153"/>
      <c r="Z215" s="153"/>
      <c r="AA215" s="153"/>
      <c r="AB215" s="153"/>
      <c r="AC215" s="153"/>
      <c r="AD215" s="153"/>
      <c r="AE215" s="153"/>
      <c r="AF215" s="153"/>
      <c r="AG215" s="153"/>
      <c r="AH215" s="153"/>
      <c r="AI215" s="153"/>
      <c r="AJ215" s="153"/>
      <c r="AK215" s="153"/>
      <c r="AL215" s="153"/>
      <c r="AM215" s="153"/>
      <c r="AN215" s="153"/>
      <c r="AO215" s="153"/>
      <c r="AP215" s="153"/>
      <c r="AQ215" s="153"/>
      <c r="AR215" s="153"/>
      <c r="AS215" s="153"/>
      <c r="AT215" s="153"/>
      <c r="AU215" s="160"/>
      <c r="AV215" s="160"/>
      <c r="AW215" s="160"/>
      <c r="AX215" s="160"/>
      <c r="AY215" s="160"/>
    </row>
    <row r="216" spans="1:51" s="31" customFormat="1" x14ac:dyDescent="0.2">
      <c r="A216" s="62"/>
      <c r="B216" s="84"/>
      <c r="C216" s="84"/>
      <c r="D216" s="84"/>
      <c r="E216" s="84"/>
      <c r="F216" s="84"/>
      <c r="G216" s="84"/>
      <c r="H216" s="84"/>
      <c r="I216" s="62"/>
      <c r="J216" s="62"/>
      <c r="K216" s="62"/>
      <c r="L216" s="62"/>
      <c r="M216" s="62"/>
      <c r="N216" s="62"/>
      <c r="O216" s="153"/>
      <c r="P216" s="153"/>
      <c r="Q216" s="153"/>
      <c r="R216" s="153"/>
      <c r="S216" s="153"/>
      <c r="T216" s="153"/>
      <c r="U216" s="153"/>
      <c r="V216" s="153"/>
      <c r="W216" s="153"/>
      <c r="X216" s="153"/>
      <c r="Y216" s="153"/>
      <c r="Z216" s="153"/>
      <c r="AA216" s="153"/>
      <c r="AB216" s="153"/>
      <c r="AC216" s="153"/>
      <c r="AD216" s="153"/>
      <c r="AE216" s="153"/>
      <c r="AF216" s="153"/>
      <c r="AG216" s="153"/>
      <c r="AH216" s="153"/>
      <c r="AI216" s="153"/>
      <c r="AJ216" s="153"/>
      <c r="AK216" s="153"/>
      <c r="AL216" s="153"/>
      <c r="AM216" s="153"/>
      <c r="AN216" s="153"/>
      <c r="AO216" s="153"/>
      <c r="AP216" s="153"/>
      <c r="AQ216" s="153"/>
      <c r="AR216" s="153"/>
      <c r="AS216" s="153"/>
      <c r="AT216" s="153"/>
      <c r="AU216" s="160"/>
      <c r="AV216" s="160"/>
      <c r="AW216" s="160"/>
      <c r="AX216" s="160"/>
      <c r="AY216" s="160"/>
    </row>
    <row r="217" spans="1:51" x14ac:dyDescent="0.2">
      <c r="A217" s="62"/>
      <c r="B217" s="62"/>
      <c r="C217" s="62"/>
      <c r="D217" s="62"/>
      <c r="E217" s="62"/>
      <c r="F217" s="62"/>
      <c r="G217" s="62"/>
      <c r="H217" s="62"/>
      <c r="I217" s="62"/>
      <c r="J217" s="62"/>
      <c r="K217" s="62"/>
      <c r="L217" s="62"/>
      <c r="M217" s="62"/>
      <c r="N217" s="62"/>
      <c r="O217" s="153"/>
      <c r="P217" s="153"/>
      <c r="Q217" s="153"/>
      <c r="R217" s="153"/>
      <c r="S217" s="153"/>
      <c r="T217" s="153"/>
      <c r="U217" s="153"/>
      <c r="V217" s="153"/>
      <c r="W217" s="153"/>
      <c r="X217" s="153"/>
      <c r="Y217" s="153"/>
      <c r="Z217" s="153"/>
      <c r="AA217" s="153"/>
      <c r="AB217" s="153"/>
      <c r="AC217" s="153"/>
      <c r="AD217" s="153"/>
      <c r="AE217" s="153"/>
      <c r="AF217" s="153"/>
      <c r="AG217" s="153"/>
      <c r="AH217" s="153"/>
      <c r="AI217" s="153"/>
      <c r="AJ217" s="153"/>
      <c r="AK217" s="153"/>
      <c r="AL217" s="153"/>
      <c r="AM217" s="153"/>
      <c r="AN217" s="153"/>
      <c r="AO217" s="153"/>
      <c r="AP217" s="153"/>
      <c r="AQ217" s="153"/>
      <c r="AR217" s="153"/>
      <c r="AS217" s="153"/>
      <c r="AT217" s="153"/>
      <c r="AU217" s="153"/>
      <c r="AV217" s="153"/>
      <c r="AW217" s="153"/>
      <c r="AX217" s="153"/>
      <c r="AY217" s="153"/>
    </row>
    <row r="218" spans="1:51" x14ac:dyDescent="0.2">
      <c r="A218" s="62"/>
      <c r="B218" s="62"/>
      <c r="C218" s="62"/>
      <c r="D218" s="62"/>
      <c r="E218" s="62"/>
      <c r="F218" s="62"/>
      <c r="G218" s="62"/>
      <c r="H218" s="62"/>
      <c r="I218" s="62"/>
      <c r="J218" s="62"/>
      <c r="K218" s="62"/>
      <c r="L218" s="62"/>
      <c r="M218" s="62"/>
      <c r="N218" s="62"/>
      <c r="O218" s="153"/>
      <c r="P218" s="153"/>
      <c r="Q218" s="153"/>
      <c r="R218" s="153"/>
      <c r="S218" s="153"/>
      <c r="T218" s="153"/>
      <c r="U218" s="153"/>
      <c r="V218" s="153"/>
      <c r="W218" s="153"/>
      <c r="X218" s="153"/>
      <c r="Y218" s="153"/>
      <c r="Z218" s="153"/>
      <c r="AA218" s="153"/>
      <c r="AB218" s="153"/>
      <c r="AC218" s="153"/>
      <c r="AD218" s="153"/>
      <c r="AE218" s="153"/>
      <c r="AF218" s="153"/>
      <c r="AG218" s="153"/>
      <c r="AH218" s="153"/>
      <c r="AI218" s="153"/>
      <c r="AJ218" s="153"/>
      <c r="AK218" s="153"/>
      <c r="AL218" s="153"/>
      <c r="AM218" s="153"/>
      <c r="AN218" s="153"/>
      <c r="AO218" s="153"/>
      <c r="AP218" s="153"/>
      <c r="AQ218" s="153"/>
      <c r="AR218" s="153"/>
      <c r="AS218" s="153"/>
      <c r="AT218" s="153"/>
      <c r="AU218" s="153"/>
      <c r="AV218" s="153"/>
      <c r="AW218" s="153"/>
      <c r="AX218" s="153"/>
      <c r="AY218" s="153"/>
    </row>
    <row r="219" spans="1:51" x14ac:dyDescent="0.2">
      <c r="A219" s="62"/>
      <c r="B219" s="62"/>
      <c r="C219" s="62"/>
      <c r="D219" s="62"/>
      <c r="E219" s="62"/>
      <c r="F219" s="62"/>
      <c r="G219" s="62"/>
      <c r="H219" s="62"/>
      <c r="I219" s="62"/>
      <c r="J219" s="62"/>
      <c r="K219" s="62"/>
      <c r="L219" s="62"/>
      <c r="M219" s="62"/>
      <c r="N219" s="62"/>
      <c r="O219" s="153"/>
      <c r="P219" s="153"/>
      <c r="Q219" s="153"/>
      <c r="R219" s="153"/>
      <c r="S219" s="153"/>
      <c r="T219" s="153"/>
      <c r="U219" s="153"/>
      <c r="V219" s="153"/>
      <c r="W219" s="153"/>
      <c r="X219" s="153"/>
      <c r="Y219" s="153"/>
      <c r="Z219" s="153"/>
      <c r="AA219" s="153"/>
      <c r="AB219" s="153"/>
      <c r="AC219" s="153"/>
      <c r="AD219" s="153"/>
      <c r="AE219" s="153"/>
      <c r="AF219" s="153"/>
      <c r="AG219" s="153"/>
      <c r="AH219" s="153"/>
      <c r="AI219" s="153"/>
      <c r="AJ219" s="153"/>
      <c r="AK219" s="153"/>
      <c r="AL219" s="153"/>
      <c r="AM219" s="153"/>
      <c r="AN219" s="153"/>
      <c r="AO219" s="153"/>
      <c r="AP219" s="153"/>
      <c r="AQ219" s="153"/>
      <c r="AR219" s="153"/>
      <c r="AS219" s="153"/>
      <c r="AT219" s="153"/>
      <c r="AU219" s="153"/>
      <c r="AV219" s="153"/>
      <c r="AW219" s="153"/>
      <c r="AX219" s="153"/>
      <c r="AY219" s="153"/>
    </row>
    <row r="220" spans="1:51" x14ac:dyDescent="0.2">
      <c r="A220" s="62"/>
      <c r="B220" s="62"/>
      <c r="C220" s="62"/>
      <c r="D220" s="62"/>
      <c r="E220" s="62"/>
      <c r="F220" s="62"/>
      <c r="G220" s="62"/>
      <c r="H220" s="62"/>
      <c r="I220" s="62"/>
      <c r="J220" s="62"/>
      <c r="K220" s="62"/>
      <c r="L220" s="62"/>
      <c r="M220" s="62"/>
      <c r="N220" s="62"/>
      <c r="O220" s="153"/>
      <c r="P220" s="153"/>
      <c r="Q220" s="153"/>
      <c r="R220" s="153"/>
      <c r="S220" s="153"/>
      <c r="T220" s="153"/>
      <c r="U220" s="153"/>
      <c r="V220" s="153"/>
      <c r="W220" s="153"/>
      <c r="X220" s="153"/>
      <c r="Y220" s="153"/>
      <c r="Z220" s="153"/>
      <c r="AA220" s="153"/>
      <c r="AB220" s="153"/>
      <c r="AC220" s="153"/>
      <c r="AD220" s="153"/>
      <c r="AE220" s="153"/>
      <c r="AF220" s="153"/>
      <c r="AG220" s="153"/>
      <c r="AH220" s="153"/>
      <c r="AI220" s="153"/>
      <c r="AJ220" s="153"/>
      <c r="AK220" s="153"/>
      <c r="AL220" s="153"/>
      <c r="AM220" s="153"/>
      <c r="AN220" s="153"/>
      <c r="AO220" s="153"/>
      <c r="AP220" s="153"/>
      <c r="AQ220" s="153"/>
      <c r="AR220" s="153"/>
      <c r="AS220" s="153"/>
      <c r="AT220" s="153"/>
      <c r="AU220" s="153"/>
      <c r="AV220" s="153"/>
      <c r="AW220" s="153"/>
      <c r="AX220" s="153"/>
      <c r="AY220" s="153"/>
    </row>
    <row r="221" spans="1:51" x14ac:dyDescent="0.2">
      <c r="A221" s="62"/>
      <c r="B221" s="62"/>
      <c r="C221" s="62"/>
      <c r="D221" s="62"/>
      <c r="E221" s="62"/>
      <c r="F221" s="62"/>
      <c r="G221" s="62"/>
      <c r="H221" s="62"/>
      <c r="I221" s="62"/>
      <c r="J221" s="62"/>
      <c r="K221" s="62"/>
      <c r="L221" s="62"/>
      <c r="M221" s="62"/>
      <c r="N221" s="62"/>
      <c r="O221" s="153"/>
      <c r="P221" s="153"/>
      <c r="Q221" s="153"/>
      <c r="R221" s="153"/>
      <c r="S221" s="153"/>
      <c r="T221" s="153"/>
      <c r="U221" s="153"/>
      <c r="V221" s="153"/>
      <c r="W221" s="153"/>
      <c r="X221" s="153"/>
      <c r="Y221" s="153"/>
      <c r="Z221" s="153"/>
      <c r="AA221" s="153"/>
      <c r="AB221" s="153"/>
      <c r="AC221" s="153"/>
      <c r="AD221" s="153"/>
      <c r="AE221" s="153"/>
      <c r="AF221" s="153"/>
      <c r="AG221" s="153"/>
      <c r="AH221" s="153"/>
      <c r="AI221" s="153"/>
      <c r="AJ221" s="153"/>
      <c r="AK221" s="153"/>
      <c r="AL221" s="153"/>
      <c r="AM221" s="153"/>
      <c r="AN221" s="153"/>
      <c r="AO221" s="153"/>
      <c r="AP221" s="153"/>
      <c r="AQ221" s="153"/>
      <c r="AR221" s="153"/>
      <c r="AS221" s="153"/>
      <c r="AT221" s="153"/>
      <c r="AU221" s="153"/>
      <c r="AV221" s="153"/>
      <c r="AW221" s="153"/>
      <c r="AX221" s="153"/>
      <c r="AY221" s="153"/>
    </row>
    <row r="222" spans="1:51" x14ac:dyDescent="0.2">
      <c r="A222" s="62"/>
      <c r="B222" s="62"/>
      <c r="C222" s="62"/>
      <c r="D222" s="62"/>
      <c r="E222" s="62"/>
      <c r="F222" s="62"/>
      <c r="G222" s="62"/>
      <c r="H222" s="62"/>
      <c r="I222" s="62"/>
      <c r="J222" s="62"/>
      <c r="K222" s="62"/>
      <c r="L222" s="62"/>
      <c r="M222" s="62"/>
      <c r="N222" s="62"/>
      <c r="O222" s="153"/>
      <c r="P222" s="153"/>
      <c r="Q222" s="153"/>
      <c r="R222" s="153"/>
      <c r="S222" s="153"/>
      <c r="T222" s="153"/>
      <c r="U222" s="153"/>
      <c r="V222" s="153"/>
      <c r="W222" s="153"/>
      <c r="X222" s="153"/>
      <c r="Y222" s="153"/>
      <c r="Z222" s="153"/>
      <c r="AA222" s="153"/>
      <c r="AB222" s="153"/>
      <c r="AC222" s="153"/>
      <c r="AD222" s="153"/>
      <c r="AE222" s="153"/>
      <c r="AF222" s="153"/>
      <c r="AG222" s="153"/>
      <c r="AH222" s="153"/>
      <c r="AI222" s="153"/>
      <c r="AJ222" s="153"/>
      <c r="AK222" s="153"/>
      <c r="AL222" s="153"/>
      <c r="AM222" s="153"/>
      <c r="AN222" s="153"/>
      <c r="AO222" s="153"/>
      <c r="AP222" s="153"/>
      <c r="AQ222" s="153"/>
      <c r="AR222" s="153"/>
      <c r="AS222" s="153"/>
      <c r="AT222" s="153"/>
      <c r="AU222" s="153"/>
      <c r="AV222" s="153"/>
      <c r="AW222" s="153"/>
      <c r="AX222" s="153"/>
      <c r="AY222" s="153"/>
    </row>
    <row r="223" spans="1:51" x14ac:dyDescent="0.2">
      <c r="A223" s="62"/>
      <c r="B223" s="62"/>
      <c r="C223" s="62"/>
      <c r="D223" s="62"/>
      <c r="E223" s="62"/>
      <c r="F223" s="62"/>
      <c r="G223" s="62"/>
      <c r="H223" s="62"/>
      <c r="I223" s="62"/>
      <c r="J223" s="62"/>
      <c r="K223" s="62"/>
      <c r="L223" s="62"/>
      <c r="M223" s="62"/>
      <c r="N223" s="62"/>
      <c r="O223" s="153"/>
      <c r="P223" s="153"/>
      <c r="Q223" s="153"/>
      <c r="R223" s="153"/>
      <c r="S223" s="153"/>
      <c r="T223" s="153"/>
      <c r="U223" s="153"/>
      <c r="V223" s="153"/>
      <c r="W223" s="153"/>
      <c r="X223" s="153"/>
      <c r="Y223" s="153"/>
      <c r="Z223" s="153"/>
      <c r="AA223" s="153"/>
      <c r="AB223" s="153"/>
      <c r="AC223" s="153"/>
      <c r="AD223" s="153"/>
      <c r="AE223" s="153"/>
      <c r="AF223" s="153"/>
      <c r="AG223" s="153"/>
      <c r="AH223" s="153"/>
      <c r="AI223" s="153"/>
      <c r="AJ223" s="153"/>
      <c r="AK223" s="153"/>
      <c r="AL223" s="153"/>
      <c r="AM223" s="153"/>
      <c r="AN223" s="153"/>
      <c r="AO223" s="153"/>
      <c r="AP223" s="153"/>
      <c r="AQ223" s="153"/>
      <c r="AR223" s="153"/>
      <c r="AS223" s="153"/>
      <c r="AT223" s="153"/>
      <c r="AU223" s="153"/>
      <c r="AV223" s="153"/>
      <c r="AW223" s="153"/>
      <c r="AX223" s="153"/>
      <c r="AY223" s="153"/>
    </row>
    <row r="224" spans="1:51" x14ac:dyDescent="0.2">
      <c r="A224" s="62"/>
      <c r="B224" s="62"/>
      <c r="C224" s="62"/>
      <c r="D224" s="62"/>
      <c r="E224" s="62"/>
      <c r="F224" s="62"/>
      <c r="G224" s="62"/>
      <c r="H224" s="62"/>
      <c r="I224" s="62"/>
      <c r="J224" s="62"/>
      <c r="K224" s="62"/>
      <c r="L224" s="62"/>
      <c r="M224" s="62"/>
      <c r="N224" s="62"/>
      <c r="O224" s="153"/>
      <c r="P224" s="153"/>
      <c r="Q224" s="153"/>
      <c r="R224" s="153"/>
      <c r="S224" s="153"/>
      <c r="T224" s="153"/>
      <c r="U224" s="153"/>
      <c r="V224" s="153"/>
      <c r="W224" s="153"/>
      <c r="X224" s="153"/>
      <c r="Y224" s="153"/>
      <c r="Z224" s="153"/>
      <c r="AA224" s="153"/>
      <c r="AB224" s="153"/>
      <c r="AC224" s="153"/>
      <c r="AD224" s="153"/>
      <c r="AE224" s="153"/>
      <c r="AF224" s="153"/>
      <c r="AG224" s="153"/>
      <c r="AH224" s="153"/>
      <c r="AI224" s="153"/>
      <c r="AJ224" s="153"/>
      <c r="AK224" s="153"/>
      <c r="AL224" s="153"/>
      <c r="AM224" s="153"/>
      <c r="AN224" s="153"/>
      <c r="AO224" s="153"/>
      <c r="AP224" s="153"/>
      <c r="AQ224" s="153"/>
      <c r="AR224" s="153"/>
      <c r="AS224" s="153"/>
      <c r="AT224" s="153"/>
      <c r="AU224" s="153"/>
      <c r="AV224" s="153"/>
      <c r="AW224" s="153"/>
      <c r="AX224" s="153"/>
      <c r="AY224" s="153"/>
    </row>
    <row r="225" spans="1:51" x14ac:dyDescent="0.2">
      <c r="A225" s="62"/>
      <c r="B225" s="62"/>
      <c r="C225" s="62"/>
      <c r="D225" s="62"/>
      <c r="E225" s="62"/>
      <c r="F225" s="62"/>
      <c r="G225" s="62"/>
      <c r="H225" s="62"/>
      <c r="I225" s="62"/>
      <c r="J225" s="62"/>
      <c r="K225" s="62"/>
      <c r="L225" s="62"/>
      <c r="M225" s="62"/>
      <c r="N225" s="62"/>
      <c r="O225" s="153"/>
      <c r="P225" s="153"/>
      <c r="Q225" s="153"/>
      <c r="R225" s="153"/>
      <c r="S225" s="153"/>
      <c r="T225" s="153"/>
      <c r="U225" s="153"/>
      <c r="V225" s="153"/>
      <c r="W225" s="153"/>
      <c r="X225" s="153"/>
      <c r="Y225" s="153"/>
      <c r="Z225" s="153"/>
      <c r="AA225" s="153"/>
      <c r="AB225" s="153"/>
      <c r="AC225" s="153"/>
      <c r="AD225" s="153"/>
      <c r="AE225" s="153"/>
      <c r="AF225" s="153"/>
      <c r="AG225" s="153"/>
      <c r="AH225" s="153"/>
      <c r="AI225" s="153"/>
      <c r="AJ225" s="153"/>
      <c r="AK225" s="153"/>
      <c r="AL225" s="153"/>
      <c r="AM225" s="153"/>
      <c r="AN225" s="153"/>
      <c r="AO225" s="153"/>
      <c r="AP225" s="153"/>
      <c r="AQ225" s="153"/>
      <c r="AR225" s="153"/>
      <c r="AS225" s="153"/>
      <c r="AT225" s="153"/>
      <c r="AU225" s="153"/>
      <c r="AV225" s="153"/>
      <c r="AW225" s="153"/>
      <c r="AX225" s="153"/>
      <c r="AY225" s="153"/>
    </row>
    <row r="226" spans="1:51" x14ac:dyDescent="0.2">
      <c r="A226" s="62"/>
      <c r="B226" s="62"/>
      <c r="C226" s="62"/>
      <c r="D226" s="62"/>
      <c r="E226" s="62"/>
      <c r="F226" s="62"/>
      <c r="G226" s="62"/>
      <c r="H226" s="62"/>
      <c r="I226" s="62"/>
      <c r="J226" s="62"/>
      <c r="K226" s="62"/>
      <c r="L226" s="62"/>
      <c r="M226" s="62"/>
      <c r="N226" s="62"/>
      <c r="O226" s="153"/>
      <c r="P226" s="153"/>
      <c r="Q226" s="153"/>
      <c r="R226" s="153"/>
      <c r="S226" s="153"/>
      <c r="T226" s="153"/>
      <c r="U226" s="153"/>
      <c r="V226" s="153"/>
      <c r="W226" s="153"/>
      <c r="X226" s="153"/>
      <c r="Y226" s="153"/>
      <c r="Z226" s="153"/>
      <c r="AA226" s="153"/>
      <c r="AB226" s="153"/>
      <c r="AC226" s="153"/>
      <c r="AD226" s="153"/>
      <c r="AE226" s="153"/>
      <c r="AF226" s="153"/>
      <c r="AG226" s="153"/>
      <c r="AH226" s="153"/>
      <c r="AI226" s="153"/>
      <c r="AJ226" s="153"/>
      <c r="AK226" s="153"/>
      <c r="AL226" s="153"/>
      <c r="AM226" s="153"/>
      <c r="AN226" s="153"/>
      <c r="AO226" s="153"/>
      <c r="AP226" s="153"/>
      <c r="AQ226" s="153"/>
      <c r="AR226" s="153"/>
      <c r="AS226" s="153"/>
      <c r="AT226" s="153"/>
      <c r="AU226" s="153"/>
      <c r="AV226" s="153"/>
      <c r="AW226" s="153"/>
      <c r="AX226" s="153"/>
      <c r="AY226" s="153"/>
    </row>
    <row r="227" spans="1:51" x14ac:dyDescent="0.2">
      <c r="A227" s="62"/>
      <c r="B227" s="62"/>
      <c r="C227" s="62"/>
      <c r="D227" s="62"/>
      <c r="E227" s="62"/>
      <c r="F227" s="62"/>
      <c r="G227" s="62"/>
      <c r="H227" s="62"/>
      <c r="I227" s="62"/>
      <c r="J227" s="62"/>
      <c r="K227" s="62"/>
      <c r="L227" s="62"/>
      <c r="M227" s="62"/>
      <c r="N227" s="62"/>
      <c r="O227" s="153"/>
      <c r="P227" s="153"/>
      <c r="Q227" s="153"/>
      <c r="R227" s="153"/>
      <c r="S227" s="153"/>
      <c r="T227" s="153"/>
      <c r="U227" s="153"/>
      <c r="V227" s="153"/>
      <c r="W227" s="153"/>
      <c r="X227" s="153"/>
      <c r="Y227" s="153"/>
      <c r="Z227" s="153"/>
      <c r="AA227" s="153"/>
      <c r="AB227" s="153"/>
      <c r="AC227" s="153"/>
      <c r="AD227" s="153"/>
      <c r="AE227" s="153"/>
      <c r="AF227" s="153"/>
      <c r="AG227" s="153"/>
      <c r="AH227" s="153"/>
      <c r="AI227" s="153"/>
      <c r="AJ227" s="153"/>
      <c r="AK227" s="153"/>
      <c r="AL227" s="153"/>
      <c r="AM227" s="153"/>
      <c r="AN227" s="153"/>
      <c r="AO227" s="153"/>
      <c r="AP227" s="153"/>
      <c r="AQ227" s="153"/>
      <c r="AR227" s="153"/>
      <c r="AS227" s="153"/>
      <c r="AT227" s="153"/>
      <c r="AU227" s="153"/>
      <c r="AV227" s="153"/>
      <c r="AW227" s="153"/>
      <c r="AX227" s="153"/>
      <c r="AY227" s="153"/>
    </row>
    <row r="228" spans="1:51" x14ac:dyDescent="0.2">
      <c r="A228" s="62"/>
      <c r="B228" s="62"/>
      <c r="C228" s="62"/>
      <c r="D228" s="62"/>
      <c r="E228" s="62"/>
      <c r="F228" s="62"/>
      <c r="G228" s="62"/>
      <c r="H228" s="62"/>
      <c r="I228" s="62"/>
      <c r="J228" s="62"/>
      <c r="K228" s="62"/>
      <c r="L228" s="62"/>
      <c r="M228" s="62"/>
      <c r="N228" s="62"/>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c r="AM228" s="153"/>
      <c r="AN228" s="153"/>
      <c r="AO228" s="153"/>
      <c r="AP228" s="153"/>
      <c r="AQ228" s="153"/>
      <c r="AR228" s="153"/>
      <c r="AS228" s="153"/>
      <c r="AT228" s="153"/>
      <c r="AU228" s="153"/>
      <c r="AV228" s="153"/>
      <c r="AW228" s="153"/>
      <c r="AX228" s="153"/>
      <c r="AY228" s="153"/>
    </row>
    <row r="229" spans="1:51" x14ac:dyDescent="0.2">
      <c r="A229" s="62"/>
      <c r="B229" s="62"/>
      <c r="C229" s="62"/>
      <c r="D229" s="62"/>
      <c r="E229" s="62"/>
      <c r="F229" s="62"/>
      <c r="G229" s="62"/>
      <c r="H229" s="62"/>
      <c r="I229" s="62"/>
      <c r="J229" s="62"/>
      <c r="K229" s="62"/>
      <c r="L229" s="62"/>
      <c r="M229" s="62"/>
      <c r="N229" s="62"/>
      <c r="O229" s="153"/>
      <c r="P229" s="153"/>
      <c r="Q229" s="153"/>
      <c r="R229" s="153"/>
      <c r="S229" s="153"/>
      <c r="T229" s="153"/>
      <c r="U229" s="153"/>
      <c r="V229" s="153"/>
      <c r="W229" s="153"/>
      <c r="X229" s="153"/>
      <c r="Y229" s="153"/>
      <c r="Z229" s="153"/>
      <c r="AA229" s="153"/>
      <c r="AB229" s="153"/>
      <c r="AC229" s="153"/>
      <c r="AD229" s="153"/>
      <c r="AE229" s="153"/>
      <c r="AF229" s="153"/>
      <c r="AG229" s="153"/>
      <c r="AH229" s="153"/>
      <c r="AI229" s="153"/>
      <c r="AJ229" s="153"/>
      <c r="AK229" s="153"/>
      <c r="AL229" s="153"/>
      <c r="AM229" s="153"/>
      <c r="AN229" s="153"/>
      <c r="AO229" s="153"/>
      <c r="AP229" s="153"/>
      <c r="AQ229" s="153"/>
      <c r="AR229" s="153"/>
      <c r="AS229" s="153"/>
      <c r="AT229" s="153"/>
      <c r="AU229" s="153"/>
      <c r="AV229" s="153"/>
      <c r="AW229" s="153"/>
      <c r="AX229" s="153"/>
      <c r="AY229" s="153"/>
    </row>
    <row r="230" spans="1:51" x14ac:dyDescent="0.2">
      <c r="A230" s="62"/>
      <c r="B230" s="62"/>
      <c r="C230" s="62"/>
      <c r="D230" s="62"/>
      <c r="E230" s="62"/>
      <c r="F230" s="62"/>
      <c r="G230" s="62"/>
      <c r="H230" s="62"/>
      <c r="I230" s="62"/>
      <c r="J230" s="62"/>
      <c r="K230" s="62"/>
      <c r="L230" s="62"/>
      <c r="M230" s="62"/>
      <c r="N230" s="62"/>
      <c r="O230" s="153"/>
      <c r="P230" s="153"/>
      <c r="Q230" s="153"/>
      <c r="R230" s="153"/>
      <c r="S230" s="153"/>
      <c r="T230" s="153"/>
      <c r="U230" s="153"/>
      <c r="V230" s="153"/>
      <c r="W230" s="153"/>
      <c r="X230" s="153"/>
      <c r="Y230" s="153"/>
      <c r="Z230" s="153"/>
      <c r="AA230" s="153"/>
      <c r="AB230" s="153"/>
      <c r="AC230" s="153"/>
      <c r="AD230" s="153"/>
      <c r="AE230" s="153"/>
      <c r="AF230" s="153"/>
      <c r="AG230" s="153"/>
      <c r="AH230" s="153"/>
      <c r="AI230" s="153"/>
      <c r="AJ230" s="153"/>
      <c r="AK230" s="153"/>
      <c r="AL230" s="153"/>
      <c r="AM230" s="153"/>
      <c r="AN230" s="153"/>
      <c r="AO230" s="153"/>
      <c r="AP230" s="153"/>
      <c r="AQ230" s="153"/>
      <c r="AR230" s="153"/>
      <c r="AS230" s="153"/>
      <c r="AT230" s="153"/>
      <c r="AU230" s="153"/>
      <c r="AV230" s="153"/>
      <c r="AW230" s="153"/>
      <c r="AX230" s="153"/>
      <c r="AY230" s="153"/>
    </row>
    <row r="231" spans="1:51" x14ac:dyDescent="0.2">
      <c r="A231" s="62" t="b">
        <v>1</v>
      </c>
      <c r="B231" s="62"/>
      <c r="C231" s="62"/>
      <c r="D231" s="62"/>
      <c r="E231" s="62"/>
      <c r="F231" s="62"/>
      <c r="G231" s="62"/>
      <c r="H231" s="62"/>
      <c r="I231" s="62"/>
      <c r="J231" s="62"/>
      <c r="K231" s="62"/>
      <c r="L231" s="62"/>
      <c r="M231" s="62"/>
      <c r="N231" s="62"/>
      <c r="O231" s="153"/>
      <c r="P231" s="153"/>
      <c r="Q231" s="153"/>
      <c r="R231" s="153"/>
      <c r="S231" s="153"/>
      <c r="T231" s="153"/>
      <c r="U231" s="153"/>
      <c r="V231" s="153"/>
      <c r="W231" s="153"/>
      <c r="X231" s="153"/>
      <c r="Y231" s="153"/>
      <c r="Z231" s="153"/>
      <c r="AA231" s="153"/>
      <c r="AB231" s="153"/>
      <c r="AC231" s="153"/>
      <c r="AD231" s="153"/>
      <c r="AE231" s="153"/>
      <c r="AF231" s="153"/>
      <c r="AG231" s="153"/>
      <c r="AH231" s="153"/>
      <c r="AI231" s="153"/>
      <c r="AJ231" s="153"/>
      <c r="AK231" s="153"/>
      <c r="AL231" s="153"/>
      <c r="AM231" s="153"/>
      <c r="AN231" s="153"/>
      <c r="AO231" s="153"/>
      <c r="AP231" s="153"/>
      <c r="AQ231" s="153"/>
      <c r="AR231" s="153"/>
      <c r="AS231" s="153"/>
      <c r="AT231" s="153"/>
      <c r="AU231" s="153"/>
      <c r="AV231" s="153"/>
      <c r="AW231" s="153"/>
      <c r="AX231" s="153"/>
      <c r="AY231" s="153"/>
    </row>
    <row r="232" spans="1:51" x14ac:dyDescent="0.2">
      <c r="A232" s="62"/>
      <c r="B232" s="62"/>
      <c r="C232" s="62"/>
      <c r="D232" s="62"/>
      <c r="E232" s="62"/>
      <c r="F232" s="62"/>
      <c r="G232" s="62"/>
      <c r="H232" s="62"/>
      <c r="I232" s="62"/>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c r="AM232" s="153"/>
      <c r="AN232" s="153"/>
      <c r="AO232" s="153"/>
      <c r="AP232" s="153"/>
      <c r="AQ232" s="153"/>
      <c r="AR232" s="153"/>
      <c r="AS232" s="153"/>
      <c r="AT232" s="153"/>
      <c r="AU232" s="153"/>
      <c r="AV232" s="153"/>
      <c r="AW232" s="153"/>
      <c r="AX232" s="153"/>
      <c r="AY232" s="153"/>
    </row>
    <row r="233" spans="1:51" x14ac:dyDescent="0.2">
      <c r="A233" s="62"/>
      <c r="B233" s="62"/>
      <c r="C233" s="62"/>
      <c r="D233" s="62"/>
      <c r="E233" s="62"/>
      <c r="F233" s="62"/>
      <c r="G233" s="62"/>
      <c r="H233" s="62"/>
      <c r="I233" s="62"/>
      <c r="O233" s="153"/>
      <c r="P233" s="153"/>
      <c r="Q233" s="153"/>
      <c r="R233" s="153"/>
      <c r="S233" s="153"/>
      <c r="T233" s="153"/>
      <c r="U233" s="153"/>
      <c r="V233" s="153"/>
      <c r="W233" s="153"/>
      <c r="X233" s="153"/>
      <c r="Y233" s="153"/>
      <c r="Z233" s="153"/>
      <c r="AA233" s="153"/>
      <c r="AB233" s="153"/>
      <c r="AC233" s="153"/>
      <c r="AD233" s="153"/>
      <c r="AE233" s="153"/>
      <c r="AF233" s="153"/>
      <c r="AG233" s="153"/>
      <c r="AH233" s="153"/>
      <c r="AI233" s="153"/>
      <c r="AJ233" s="153"/>
      <c r="AK233" s="153"/>
      <c r="AL233" s="153"/>
      <c r="AM233" s="153"/>
      <c r="AN233" s="153"/>
      <c r="AO233" s="153"/>
      <c r="AP233" s="153"/>
      <c r="AQ233" s="153"/>
      <c r="AR233" s="153"/>
      <c r="AS233" s="153"/>
      <c r="AT233" s="153"/>
      <c r="AU233" s="153"/>
      <c r="AV233" s="153"/>
      <c r="AW233" s="153"/>
      <c r="AX233" s="153"/>
      <c r="AY233" s="153"/>
    </row>
    <row r="234" spans="1:51" x14ac:dyDescent="0.2">
      <c r="A234" s="62"/>
      <c r="B234" s="62"/>
      <c r="C234" s="62"/>
      <c r="D234" s="62"/>
      <c r="E234" s="62"/>
      <c r="F234" s="62"/>
      <c r="G234" s="62"/>
      <c r="H234" s="62"/>
      <c r="I234" s="62"/>
      <c r="O234" s="153"/>
      <c r="P234" s="153"/>
      <c r="Q234" s="153"/>
      <c r="R234" s="153"/>
      <c r="S234" s="153"/>
      <c r="T234" s="153"/>
      <c r="U234" s="153"/>
      <c r="V234" s="153"/>
      <c r="W234" s="153"/>
      <c r="X234" s="153"/>
      <c r="Y234" s="153"/>
      <c r="Z234" s="153"/>
      <c r="AA234" s="153"/>
      <c r="AB234" s="153"/>
      <c r="AC234" s="153"/>
      <c r="AD234" s="153"/>
      <c r="AE234" s="153"/>
      <c r="AF234" s="153"/>
      <c r="AG234" s="153"/>
      <c r="AH234" s="153"/>
      <c r="AI234" s="153"/>
      <c r="AJ234" s="153"/>
      <c r="AK234" s="153"/>
      <c r="AL234" s="153"/>
      <c r="AM234" s="153"/>
      <c r="AN234" s="153"/>
      <c r="AO234" s="153"/>
      <c r="AP234" s="153"/>
      <c r="AQ234" s="153"/>
      <c r="AR234" s="153"/>
      <c r="AS234" s="153"/>
      <c r="AT234" s="153"/>
      <c r="AU234" s="153"/>
      <c r="AV234" s="153"/>
      <c r="AW234" s="153"/>
      <c r="AX234" s="153"/>
      <c r="AY234" s="153"/>
    </row>
    <row r="235" spans="1:51" x14ac:dyDescent="0.2">
      <c r="A235" s="62"/>
      <c r="B235" s="62"/>
      <c r="C235" s="62"/>
      <c r="D235" s="62"/>
      <c r="E235" s="62"/>
      <c r="F235" s="62"/>
      <c r="G235" s="62"/>
      <c r="H235" s="62"/>
      <c r="I235" s="62"/>
      <c r="O235" s="153"/>
      <c r="P235" s="153"/>
      <c r="Q235" s="153"/>
      <c r="R235" s="153"/>
      <c r="S235" s="153"/>
      <c r="T235" s="153"/>
      <c r="U235" s="153"/>
      <c r="V235" s="153"/>
      <c r="W235" s="153"/>
      <c r="X235" s="153"/>
      <c r="Y235" s="153"/>
      <c r="Z235" s="153"/>
      <c r="AA235" s="153"/>
      <c r="AB235" s="153"/>
      <c r="AC235" s="153"/>
      <c r="AD235" s="153"/>
      <c r="AE235" s="153"/>
      <c r="AF235" s="153"/>
      <c r="AG235" s="153"/>
      <c r="AH235" s="153"/>
      <c r="AI235" s="153"/>
      <c r="AJ235" s="153"/>
      <c r="AK235" s="153"/>
      <c r="AL235" s="153"/>
      <c r="AM235" s="153"/>
      <c r="AN235" s="153"/>
      <c r="AO235" s="153"/>
      <c r="AP235" s="153"/>
      <c r="AQ235" s="153"/>
      <c r="AR235" s="153"/>
      <c r="AS235" s="153"/>
      <c r="AT235" s="153"/>
      <c r="AU235" s="153"/>
      <c r="AV235" s="153"/>
      <c r="AW235" s="153"/>
      <c r="AX235" s="153"/>
      <c r="AY235" s="153"/>
    </row>
    <row r="236" spans="1:51" x14ac:dyDescent="0.2">
      <c r="A236" s="62"/>
      <c r="B236" s="62"/>
      <c r="C236" s="62"/>
      <c r="D236" s="62"/>
      <c r="E236" s="62"/>
      <c r="F236" s="62"/>
      <c r="G236" s="62"/>
      <c r="H236" s="62"/>
      <c r="I236" s="62"/>
      <c r="O236" s="153"/>
      <c r="P236" s="153"/>
      <c r="Q236" s="153"/>
      <c r="R236" s="153"/>
      <c r="S236" s="153"/>
      <c r="T236" s="153"/>
      <c r="U236" s="153"/>
      <c r="V236" s="153"/>
      <c r="W236" s="153"/>
      <c r="X236" s="153"/>
      <c r="Y236" s="153"/>
      <c r="Z236" s="153"/>
      <c r="AA236" s="153"/>
      <c r="AB236" s="153"/>
      <c r="AC236" s="153"/>
      <c r="AD236" s="153"/>
      <c r="AE236" s="153"/>
      <c r="AF236" s="153"/>
      <c r="AG236" s="153"/>
      <c r="AH236" s="153"/>
      <c r="AI236" s="153"/>
      <c r="AJ236" s="153"/>
      <c r="AK236" s="153"/>
      <c r="AL236" s="153"/>
      <c r="AM236" s="153"/>
      <c r="AN236" s="153"/>
      <c r="AO236" s="153"/>
      <c r="AP236" s="153"/>
      <c r="AQ236" s="153"/>
      <c r="AR236" s="153"/>
      <c r="AS236" s="153"/>
      <c r="AT236" s="153"/>
      <c r="AU236" s="153"/>
      <c r="AV236" s="153"/>
      <c r="AW236" s="153"/>
      <c r="AX236" s="153"/>
      <c r="AY236" s="153"/>
    </row>
    <row r="237" spans="1:51" x14ac:dyDescent="0.2">
      <c r="A237" s="62"/>
      <c r="B237" s="62"/>
      <c r="C237" s="62"/>
      <c r="D237" s="62"/>
      <c r="E237" s="62"/>
      <c r="F237" s="62"/>
      <c r="G237" s="62"/>
      <c r="H237" s="62"/>
      <c r="O237" s="153"/>
      <c r="P237" s="153"/>
      <c r="Q237" s="153"/>
      <c r="R237" s="153"/>
      <c r="S237" s="153"/>
      <c r="T237" s="153"/>
      <c r="U237" s="153"/>
      <c r="V237" s="153"/>
      <c r="W237" s="153"/>
      <c r="X237" s="153"/>
      <c r="Y237" s="153"/>
      <c r="Z237" s="153"/>
      <c r="AA237" s="153"/>
      <c r="AB237" s="153"/>
      <c r="AC237" s="153"/>
      <c r="AD237" s="153"/>
      <c r="AE237" s="153"/>
      <c r="AF237" s="153"/>
      <c r="AG237" s="153"/>
      <c r="AH237" s="153"/>
      <c r="AI237" s="153"/>
      <c r="AJ237" s="153"/>
      <c r="AK237" s="153"/>
      <c r="AL237" s="153"/>
      <c r="AM237" s="153"/>
      <c r="AN237" s="153"/>
      <c r="AO237" s="153"/>
      <c r="AP237" s="153"/>
      <c r="AQ237" s="153"/>
      <c r="AR237" s="153"/>
      <c r="AS237" s="153"/>
      <c r="AT237" s="153"/>
      <c r="AU237" s="153"/>
      <c r="AV237" s="153"/>
      <c r="AW237" s="153"/>
      <c r="AX237" s="153"/>
      <c r="AY237" s="153"/>
    </row>
    <row r="238" spans="1:51" x14ac:dyDescent="0.2">
      <c r="A238" s="62"/>
      <c r="B238" s="62"/>
      <c r="C238" s="62"/>
      <c r="D238" s="62"/>
      <c r="E238" s="62"/>
      <c r="F238" s="62"/>
      <c r="G238" s="62"/>
      <c r="H238" s="62"/>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153"/>
      <c r="AM238" s="153"/>
      <c r="AN238" s="153"/>
      <c r="AO238" s="153"/>
      <c r="AP238" s="153"/>
      <c r="AQ238" s="153"/>
      <c r="AR238" s="153"/>
      <c r="AS238" s="153"/>
      <c r="AT238" s="153"/>
      <c r="AU238" s="153"/>
      <c r="AV238" s="153"/>
      <c r="AW238" s="153"/>
      <c r="AX238" s="153"/>
      <c r="AY238" s="153"/>
    </row>
    <row r="239" spans="1:51" x14ac:dyDescent="0.2">
      <c r="A239" s="62"/>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153"/>
      <c r="AM239" s="153"/>
      <c r="AN239" s="153"/>
      <c r="AO239" s="153"/>
      <c r="AP239" s="153"/>
      <c r="AQ239" s="153"/>
      <c r="AR239" s="153"/>
      <c r="AS239" s="153"/>
      <c r="AT239" s="153"/>
      <c r="AU239" s="153"/>
      <c r="AV239" s="153"/>
      <c r="AW239" s="153"/>
      <c r="AX239" s="153"/>
      <c r="AY239" s="153"/>
    </row>
    <row r="240" spans="1:51" x14ac:dyDescent="0.2">
      <c r="O240" s="153"/>
      <c r="P240" s="153"/>
      <c r="Q240" s="153"/>
      <c r="R240" s="153"/>
      <c r="S240" s="153"/>
      <c r="T240" s="153"/>
      <c r="U240" s="153"/>
      <c r="V240" s="153"/>
      <c r="W240" s="153"/>
      <c r="X240" s="153"/>
      <c r="Y240" s="153"/>
      <c r="Z240" s="153"/>
      <c r="AA240" s="153"/>
      <c r="AB240" s="153"/>
      <c r="AC240" s="153"/>
      <c r="AD240" s="153"/>
      <c r="AE240" s="153"/>
      <c r="AF240" s="153"/>
      <c r="AG240" s="153"/>
      <c r="AH240" s="153"/>
      <c r="AI240" s="153"/>
      <c r="AJ240" s="153"/>
      <c r="AK240" s="153"/>
      <c r="AL240" s="153"/>
      <c r="AM240" s="153"/>
      <c r="AN240" s="153"/>
      <c r="AO240" s="153"/>
      <c r="AP240" s="153"/>
      <c r="AQ240" s="153"/>
      <c r="AR240" s="153"/>
      <c r="AS240" s="153"/>
      <c r="AT240" s="153"/>
      <c r="AU240" s="153"/>
      <c r="AV240" s="153"/>
      <c r="AW240" s="153"/>
      <c r="AX240" s="153"/>
      <c r="AY240" s="153"/>
    </row>
    <row r="241" spans="15:51" x14ac:dyDescent="0.2">
      <c r="O241" s="153"/>
      <c r="P241" s="153"/>
      <c r="Q241" s="153"/>
      <c r="R241" s="153"/>
      <c r="S241" s="153"/>
      <c r="T241" s="153"/>
      <c r="U241" s="153"/>
      <c r="V241" s="153"/>
      <c r="W241" s="153"/>
      <c r="X241" s="153"/>
      <c r="Y241" s="153"/>
      <c r="Z241" s="153"/>
      <c r="AA241" s="153"/>
      <c r="AB241" s="153"/>
      <c r="AC241" s="153"/>
      <c r="AD241" s="153"/>
      <c r="AE241" s="153"/>
      <c r="AF241" s="153"/>
      <c r="AG241" s="153"/>
      <c r="AH241" s="153"/>
      <c r="AI241" s="153"/>
      <c r="AJ241" s="153"/>
      <c r="AK241" s="153"/>
      <c r="AL241" s="153"/>
      <c r="AM241" s="153"/>
      <c r="AN241" s="153"/>
      <c r="AO241" s="153"/>
      <c r="AP241" s="153"/>
      <c r="AQ241" s="153"/>
      <c r="AR241" s="153"/>
      <c r="AS241" s="153"/>
      <c r="AT241" s="153"/>
      <c r="AU241" s="153"/>
      <c r="AV241" s="153"/>
      <c r="AW241" s="153"/>
      <c r="AX241" s="153"/>
      <c r="AY241" s="153"/>
    </row>
    <row r="242" spans="15:51" x14ac:dyDescent="0.2">
      <c r="O242" s="153"/>
      <c r="P242" s="153"/>
      <c r="Q242" s="153"/>
      <c r="R242" s="153"/>
      <c r="S242" s="153"/>
      <c r="T242" s="153"/>
      <c r="U242" s="153"/>
      <c r="V242" s="153"/>
      <c r="W242" s="153"/>
      <c r="X242" s="153"/>
      <c r="Y242" s="153"/>
      <c r="Z242" s="153"/>
      <c r="AA242" s="153"/>
      <c r="AB242" s="153"/>
      <c r="AC242" s="153"/>
      <c r="AD242" s="153"/>
      <c r="AE242" s="153"/>
      <c r="AF242" s="153"/>
      <c r="AG242" s="153"/>
      <c r="AH242" s="153"/>
      <c r="AI242" s="153"/>
      <c r="AJ242" s="153"/>
      <c r="AK242" s="153"/>
      <c r="AL242" s="153"/>
      <c r="AM242" s="153"/>
      <c r="AN242" s="153"/>
      <c r="AO242" s="153"/>
      <c r="AP242" s="153"/>
      <c r="AQ242" s="153"/>
      <c r="AR242" s="153"/>
      <c r="AS242" s="153"/>
      <c r="AT242" s="153"/>
      <c r="AU242" s="153"/>
      <c r="AV242" s="153"/>
      <c r="AW242" s="153"/>
      <c r="AX242" s="153"/>
      <c r="AY242" s="153"/>
    </row>
    <row r="243" spans="15:51" x14ac:dyDescent="0.2">
      <c r="O243" s="153"/>
      <c r="P243" s="153"/>
      <c r="Q243" s="153"/>
      <c r="R243" s="153"/>
      <c r="S243" s="153"/>
      <c r="T243" s="153"/>
      <c r="U243" s="153"/>
      <c r="V243" s="153"/>
      <c r="W243" s="153"/>
      <c r="X243" s="153"/>
      <c r="Y243" s="153"/>
      <c r="Z243" s="153"/>
      <c r="AA243" s="153"/>
      <c r="AB243" s="153"/>
      <c r="AC243" s="153"/>
      <c r="AD243" s="153"/>
      <c r="AE243" s="153"/>
      <c r="AF243" s="153"/>
      <c r="AG243" s="153"/>
      <c r="AH243" s="153"/>
      <c r="AI243" s="153"/>
      <c r="AJ243" s="153"/>
      <c r="AK243" s="153"/>
      <c r="AL243" s="153"/>
      <c r="AM243" s="153"/>
      <c r="AN243" s="153"/>
      <c r="AO243" s="153"/>
      <c r="AP243" s="153"/>
      <c r="AQ243" s="153"/>
      <c r="AR243" s="153"/>
      <c r="AS243" s="153"/>
      <c r="AT243" s="153"/>
      <c r="AU243" s="153"/>
      <c r="AV243" s="153"/>
      <c r="AW243" s="153"/>
      <c r="AX243" s="153"/>
      <c r="AY243" s="153"/>
    </row>
    <row r="244" spans="15:51" x14ac:dyDescent="0.2">
      <c r="O244" s="153"/>
      <c r="P244" s="153"/>
      <c r="Q244" s="153"/>
      <c r="R244" s="153"/>
      <c r="S244" s="153"/>
      <c r="T244" s="153"/>
      <c r="U244" s="153"/>
      <c r="V244" s="153"/>
      <c r="W244" s="153"/>
      <c r="X244" s="153"/>
      <c r="Y244" s="153"/>
      <c r="Z244" s="153"/>
      <c r="AA244" s="153"/>
      <c r="AB244" s="153"/>
      <c r="AC244" s="153"/>
      <c r="AD244" s="153"/>
      <c r="AE244" s="153"/>
      <c r="AF244" s="153"/>
      <c r="AG244" s="153"/>
      <c r="AH244" s="153"/>
      <c r="AI244" s="153"/>
      <c r="AJ244" s="153"/>
      <c r="AK244" s="153"/>
      <c r="AL244" s="153"/>
      <c r="AM244" s="153"/>
      <c r="AN244" s="153"/>
      <c r="AO244" s="153"/>
      <c r="AP244" s="153"/>
      <c r="AQ244" s="153"/>
      <c r="AR244" s="153"/>
      <c r="AS244" s="153"/>
      <c r="AT244" s="153"/>
      <c r="AU244" s="153"/>
      <c r="AV244" s="153"/>
      <c r="AW244" s="153"/>
      <c r="AX244" s="153"/>
      <c r="AY244" s="153"/>
    </row>
    <row r="245" spans="15:51" x14ac:dyDescent="0.2">
      <c r="O245" s="153"/>
      <c r="P245" s="153"/>
      <c r="Q245" s="153"/>
      <c r="R245" s="153"/>
      <c r="S245" s="153"/>
      <c r="T245" s="153"/>
      <c r="U245" s="153"/>
      <c r="V245" s="153"/>
      <c r="W245" s="153"/>
      <c r="X245" s="153"/>
      <c r="Y245" s="153"/>
      <c r="Z245" s="153"/>
      <c r="AA245" s="153"/>
      <c r="AB245" s="153"/>
      <c r="AC245" s="153"/>
      <c r="AD245" s="153"/>
      <c r="AE245" s="153"/>
      <c r="AF245" s="153"/>
      <c r="AG245" s="153"/>
      <c r="AH245" s="153"/>
      <c r="AI245" s="153"/>
      <c r="AJ245" s="153"/>
      <c r="AK245" s="153"/>
      <c r="AL245" s="153"/>
      <c r="AM245" s="153"/>
      <c r="AN245" s="153"/>
      <c r="AO245" s="153"/>
      <c r="AP245" s="153"/>
      <c r="AQ245" s="153"/>
      <c r="AR245" s="153"/>
      <c r="AS245" s="153"/>
      <c r="AT245" s="153"/>
      <c r="AU245" s="153"/>
      <c r="AV245" s="153"/>
      <c r="AW245" s="153"/>
      <c r="AX245" s="153"/>
      <c r="AY245" s="153"/>
    </row>
    <row r="246" spans="15:51" x14ac:dyDescent="0.2">
      <c r="O246" s="153"/>
      <c r="P246" s="153"/>
      <c r="Q246" s="153"/>
      <c r="R246" s="153"/>
      <c r="S246" s="153"/>
      <c r="T246" s="153"/>
      <c r="U246" s="153"/>
      <c r="V246" s="153"/>
      <c r="W246" s="153"/>
      <c r="X246" s="153"/>
      <c r="Y246" s="153"/>
      <c r="Z246" s="153"/>
      <c r="AA246" s="153"/>
      <c r="AB246" s="153"/>
      <c r="AC246" s="153"/>
      <c r="AD246" s="153"/>
      <c r="AE246" s="153"/>
      <c r="AF246" s="153"/>
      <c r="AG246" s="153"/>
      <c r="AH246" s="153"/>
      <c r="AI246" s="153"/>
      <c r="AJ246" s="153"/>
      <c r="AK246" s="153"/>
      <c r="AL246" s="153"/>
      <c r="AM246" s="153"/>
      <c r="AN246" s="153"/>
      <c r="AO246" s="153"/>
      <c r="AP246" s="153"/>
      <c r="AQ246" s="153"/>
      <c r="AR246" s="153"/>
      <c r="AS246" s="153"/>
      <c r="AT246" s="153"/>
      <c r="AU246" s="153"/>
      <c r="AV246" s="153"/>
      <c r="AW246" s="153"/>
      <c r="AX246" s="153"/>
      <c r="AY246" s="153"/>
    </row>
    <row r="247" spans="15:51" x14ac:dyDescent="0.2">
      <c r="O247" s="153"/>
      <c r="P247" s="153"/>
      <c r="Q247" s="153"/>
      <c r="R247" s="153"/>
      <c r="S247" s="153"/>
      <c r="T247" s="153"/>
      <c r="U247" s="153"/>
      <c r="V247" s="153"/>
      <c r="W247" s="153"/>
      <c r="X247" s="153"/>
      <c r="Y247" s="153"/>
      <c r="Z247" s="153"/>
      <c r="AA247" s="153"/>
      <c r="AB247" s="153"/>
      <c r="AC247" s="153"/>
      <c r="AD247" s="153"/>
      <c r="AE247" s="153"/>
      <c r="AF247" s="153"/>
      <c r="AG247" s="153"/>
      <c r="AH247" s="153"/>
      <c r="AI247" s="153"/>
      <c r="AJ247" s="153"/>
      <c r="AK247" s="153"/>
      <c r="AL247" s="153"/>
      <c r="AM247" s="153"/>
      <c r="AN247" s="153"/>
      <c r="AO247" s="153"/>
      <c r="AP247" s="153"/>
      <c r="AQ247" s="153"/>
      <c r="AR247" s="153"/>
      <c r="AS247" s="153"/>
      <c r="AT247" s="153"/>
      <c r="AU247" s="153"/>
      <c r="AV247" s="153"/>
      <c r="AW247" s="153"/>
      <c r="AX247" s="153"/>
      <c r="AY247" s="153"/>
    </row>
    <row r="248" spans="15:51" x14ac:dyDescent="0.2">
      <c r="O248" s="153"/>
      <c r="P248" s="153"/>
      <c r="Q248" s="153"/>
      <c r="R248" s="153"/>
      <c r="S248" s="153"/>
      <c r="T248" s="153"/>
      <c r="U248" s="153"/>
      <c r="V248" s="153"/>
      <c r="W248" s="153"/>
      <c r="X248" s="153"/>
      <c r="Y248" s="153"/>
      <c r="Z248" s="153"/>
      <c r="AA248" s="153"/>
      <c r="AB248" s="153"/>
      <c r="AC248" s="153"/>
      <c r="AD248" s="153"/>
      <c r="AE248" s="153"/>
      <c r="AF248" s="153"/>
      <c r="AG248" s="153"/>
      <c r="AH248" s="153"/>
      <c r="AI248" s="153"/>
      <c r="AJ248" s="153"/>
      <c r="AK248" s="153"/>
      <c r="AL248" s="153"/>
      <c r="AM248" s="153"/>
      <c r="AN248" s="153"/>
      <c r="AO248" s="153"/>
      <c r="AP248" s="153"/>
      <c r="AQ248" s="153"/>
      <c r="AR248" s="153"/>
      <c r="AS248" s="153"/>
      <c r="AT248" s="153"/>
      <c r="AU248" s="153"/>
      <c r="AV248" s="153"/>
      <c r="AW248" s="153"/>
      <c r="AX248" s="153"/>
      <c r="AY248" s="153"/>
    </row>
    <row r="249" spans="15:51" x14ac:dyDescent="0.2">
      <c r="O249" s="153"/>
      <c r="P249" s="153"/>
      <c r="Q249" s="153"/>
      <c r="R249" s="153"/>
      <c r="S249" s="153"/>
      <c r="T249" s="153"/>
      <c r="U249" s="153"/>
      <c r="V249" s="153"/>
      <c r="W249" s="153"/>
      <c r="X249" s="153"/>
      <c r="Y249" s="153"/>
      <c r="Z249" s="153"/>
      <c r="AA249" s="153"/>
      <c r="AB249" s="153"/>
      <c r="AC249" s="153"/>
      <c r="AD249" s="153"/>
      <c r="AE249" s="153"/>
      <c r="AF249" s="153"/>
      <c r="AG249" s="153"/>
      <c r="AH249" s="153"/>
      <c r="AI249" s="153"/>
      <c r="AJ249" s="153"/>
      <c r="AK249" s="153"/>
      <c r="AL249" s="153"/>
      <c r="AM249" s="153"/>
      <c r="AN249" s="153"/>
      <c r="AO249" s="153"/>
      <c r="AP249" s="153"/>
      <c r="AQ249" s="153"/>
      <c r="AR249" s="153"/>
      <c r="AS249" s="153"/>
      <c r="AT249" s="153"/>
      <c r="AU249" s="153"/>
      <c r="AV249" s="153"/>
      <c r="AW249" s="153"/>
      <c r="AX249" s="153"/>
      <c r="AY249" s="153"/>
    </row>
    <row r="250" spans="15:51" x14ac:dyDescent="0.2">
      <c r="O250" s="153"/>
      <c r="P250" s="153"/>
      <c r="Q250" s="153"/>
      <c r="R250" s="153"/>
      <c r="S250" s="153"/>
      <c r="T250" s="153"/>
      <c r="U250" s="153"/>
      <c r="V250" s="153"/>
      <c r="W250" s="153"/>
      <c r="X250" s="153"/>
      <c r="Y250" s="153"/>
      <c r="Z250" s="153"/>
      <c r="AA250" s="153"/>
      <c r="AB250" s="153"/>
      <c r="AC250" s="153"/>
      <c r="AD250" s="153"/>
      <c r="AE250" s="153"/>
      <c r="AF250" s="153"/>
      <c r="AG250" s="153"/>
      <c r="AH250" s="153"/>
      <c r="AI250" s="153"/>
      <c r="AJ250" s="153"/>
      <c r="AK250" s="153"/>
      <c r="AL250" s="153"/>
      <c r="AM250" s="153"/>
      <c r="AN250" s="153"/>
      <c r="AO250" s="153"/>
      <c r="AP250" s="153"/>
      <c r="AQ250" s="153"/>
      <c r="AR250" s="153"/>
      <c r="AS250" s="153"/>
      <c r="AT250" s="153"/>
      <c r="AU250" s="153"/>
      <c r="AV250" s="153"/>
      <c r="AW250" s="153"/>
      <c r="AX250" s="153"/>
      <c r="AY250" s="153"/>
    </row>
    <row r="251" spans="15:51" x14ac:dyDescent="0.2">
      <c r="O251" s="153"/>
      <c r="P251" s="153"/>
      <c r="Q251" s="153"/>
      <c r="R251" s="153"/>
      <c r="S251" s="153"/>
      <c r="T251" s="153"/>
      <c r="U251" s="153"/>
      <c r="V251" s="153"/>
      <c r="W251" s="153"/>
      <c r="X251" s="153"/>
      <c r="Y251" s="153"/>
      <c r="Z251" s="153"/>
      <c r="AA251" s="153"/>
      <c r="AB251" s="153"/>
      <c r="AC251" s="153"/>
      <c r="AD251" s="153"/>
      <c r="AE251" s="153"/>
      <c r="AF251" s="153"/>
      <c r="AG251" s="153"/>
      <c r="AH251" s="153"/>
      <c r="AI251" s="153"/>
      <c r="AJ251" s="153"/>
      <c r="AK251" s="153"/>
      <c r="AL251" s="153"/>
      <c r="AM251" s="153"/>
      <c r="AN251" s="153"/>
      <c r="AO251" s="153"/>
      <c r="AP251" s="153"/>
      <c r="AQ251" s="153"/>
      <c r="AR251" s="153"/>
      <c r="AS251" s="153"/>
      <c r="AT251" s="153"/>
      <c r="AU251" s="153"/>
      <c r="AV251" s="153"/>
      <c r="AW251" s="153"/>
      <c r="AX251" s="153"/>
      <c r="AY251" s="153"/>
    </row>
    <row r="252" spans="15:51" x14ac:dyDescent="0.2">
      <c r="O252" s="153"/>
      <c r="P252" s="153"/>
      <c r="Q252" s="153"/>
      <c r="R252" s="153"/>
      <c r="S252" s="153"/>
      <c r="T252" s="153"/>
      <c r="U252" s="153"/>
      <c r="V252" s="153"/>
      <c r="W252" s="153"/>
      <c r="X252" s="153"/>
      <c r="Y252" s="153"/>
      <c r="Z252" s="153"/>
      <c r="AA252" s="153"/>
      <c r="AB252" s="153"/>
      <c r="AC252" s="153"/>
      <c r="AD252" s="153"/>
      <c r="AE252" s="153"/>
      <c r="AF252" s="153"/>
      <c r="AG252" s="153"/>
      <c r="AH252" s="153"/>
      <c r="AI252" s="153"/>
      <c r="AJ252" s="153"/>
      <c r="AK252" s="153"/>
      <c r="AL252" s="153"/>
      <c r="AM252" s="153"/>
      <c r="AN252" s="153"/>
      <c r="AO252" s="153"/>
      <c r="AP252" s="153"/>
      <c r="AQ252" s="153"/>
      <c r="AR252" s="153"/>
      <c r="AS252" s="153"/>
      <c r="AT252" s="153"/>
      <c r="AU252" s="153"/>
      <c r="AV252" s="153"/>
      <c r="AW252" s="153"/>
      <c r="AX252" s="153"/>
      <c r="AY252" s="153"/>
    </row>
    <row r="253" spans="15:51" x14ac:dyDescent="0.2">
      <c r="O253" s="153"/>
      <c r="P253" s="153"/>
      <c r="Q253" s="153"/>
      <c r="R253" s="153"/>
      <c r="S253" s="153"/>
      <c r="T253" s="153"/>
      <c r="U253" s="153"/>
      <c r="V253" s="153"/>
      <c r="W253" s="153"/>
      <c r="X253" s="153"/>
      <c r="Y253" s="153"/>
      <c r="Z253" s="153"/>
      <c r="AA253" s="153"/>
      <c r="AB253" s="153"/>
      <c r="AC253" s="153"/>
      <c r="AD253" s="153"/>
      <c r="AE253" s="153"/>
      <c r="AF253" s="153"/>
      <c r="AG253" s="153"/>
      <c r="AH253" s="153"/>
      <c r="AI253" s="153"/>
      <c r="AJ253" s="153"/>
      <c r="AK253" s="153"/>
      <c r="AL253" s="153"/>
      <c r="AM253" s="153"/>
      <c r="AN253" s="153"/>
      <c r="AO253" s="153"/>
      <c r="AP253" s="153"/>
      <c r="AQ253" s="153"/>
      <c r="AR253" s="153"/>
      <c r="AS253" s="153"/>
      <c r="AT253" s="153"/>
      <c r="AU253" s="153"/>
      <c r="AV253" s="153"/>
      <c r="AW253" s="153"/>
      <c r="AX253" s="153"/>
      <c r="AY253" s="153"/>
    </row>
    <row r="254" spans="15:51" x14ac:dyDescent="0.2">
      <c r="O254" s="153"/>
      <c r="P254" s="153"/>
      <c r="Q254" s="153"/>
      <c r="R254" s="153"/>
      <c r="S254" s="153"/>
      <c r="T254" s="153"/>
      <c r="U254" s="153"/>
      <c r="V254" s="153"/>
      <c r="W254" s="153"/>
      <c r="X254" s="153"/>
      <c r="Y254" s="153"/>
      <c r="Z254" s="153"/>
      <c r="AA254" s="153"/>
      <c r="AB254" s="153"/>
      <c r="AC254" s="153"/>
      <c r="AD254" s="153"/>
      <c r="AE254" s="153"/>
      <c r="AF254" s="153"/>
      <c r="AG254" s="153"/>
      <c r="AH254" s="153"/>
      <c r="AI254" s="153"/>
      <c r="AJ254" s="153"/>
      <c r="AK254" s="153"/>
      <c r="AL254" s="153"/>
      <c r="AM254" s="153"/>
      <c r="AN254" s="153"/>
      <c r="AO254" s="153"/>
      <c r="AP254" s="153"/>
      <c r="AQ254" s="153"/>
      <c r="AR254" s="153"/>
      <c r="AS254" s="153"/>
      <c r="AT254" s="153"/>
      <c r="AU254" s="153"/>
      <c r="AV254" s="153"/>
      <c r="AW254" s="153"/>
      <c r="AX254" s="153"/>
      <c r="AY254" s="153"/>
    </row>
    <row r="255" spans="15:51" x14ac:dyDescent="0.2">
      <c r="O255" s="153"/>
      <c r="P255" s="153"/>
      <c r="Q255" s="153"/>
      <c r="R255" s="153"/>
      <c r="S255" s="153"/>
      <c r="T255" s="153"/>
      <c r="U255" s="153"/>
      <c r="V255" s="153"/>
      <c r="W255" s="153"/>
      <c r="X255" s="153"/>
      <c r="Y255" s="153"/>
      <c r="Z255" s="153"/>
      <c r="AA255" s="153"/>
      <c r="AB255" s="153"/>
      <c r="AC255" s="153"/>
      <c r="AD255" s="153"/>
      <c r="AE255" s="153"/>
      <c r="AF255" s="153"/>
      <c r="AG255" s="153"/>
      <c r="AH255" s="153"/>
      <c r="AI255" s="153"/>
      <c r="AJ255" s="153"/>
      <c r="AK255" s="153"/>
      <c r="AL255" s="153"/>
      <c r="AM255" s="153"/>
      <c r="AN255" s="153"/>
      <c r="AO255" s="153"/>
      <c r="AP255" s="153"/>
      <c r="AQ255" s="153"/>
      <c r="AR255" s="153"/>
      <c r="AS255" s="153"/>
      <c r="AT255" s="153"/>
      <c r="AU255" s="153"/>
      <c r="AV255" s="153"/>
      <c r="AW255" s="153"/>
      <c r="AX255" s="153"/>
      <c r="AY255" s="153"/>
    </row>
    <row r="256" spans="15:51" x14ac:dyDescent="0.2">
      <c r="O256" s="153"/>
      <c r="P256" s="153"/>
      <c r="Q256" s="153"/>
      <c r="R256" s="153"/>
      <c r="S256" s="153"/>
      <c r="T256" s="153"/>
      <c r="U256" s="153"/>
      <c r="V256" s="153"/>
      <c r="W256" s="153"/>
      <c r="X256" s="153"/>
      <c r="Y256" s="153"/>
      <c r="Z256" s="153"/>
      <c r="AA256" s="153"/>
      <c r="AB256" s="153"/>
      <c r="AC256" s="153"/>
      <c r="AD256" s="153"/>
      <c r="AE256" s="153"/>
      <c r="AF256" s="153"/>
      <c r="AG256" s="153"/>
      <c r="AH256" s="153"/>
      <c r="AI256" s="153"/>
      <c r="AJ256" s="153"/>
      <c r="AK256" s="153"/>
      <c r="AL256" s="153"/>
      <c r="AM256" s="153"/>
      <c r="AN256" s="153"/>
      <c r="AO256" s="153"/>
      <c r="AP256" s="153"/>
      <c r="AQ256" s="153"/>
      <c r="AR256" s="153"/>
      <c r="AS256" s="153"/>
      <c r="AT256" s="153"/>
      <c r="AU256" s="153"/>
      <c r="AV256" s="153"/>
      <c r="AW256" s="153"/>
      <c r="AX256" s="153"/>
      <c r="AY256" s="153"/>
    </row>
    <row r="257" spans="15:51" x14ac:dyDescent="0.2">
      <c r="O257" s="153"/>
      <c r="P257" s="153"/>
      <c r="Q257" s="153"/>
      <c r="R257" s="153"/>
      <c r="S257" s="153"/>
      <c r="T257" s="153"/>
      <c r="U257" s="153"/>
      <c r="V257" s="153"/>
      <c r="W257" s="153"/>
      <c r="X257" s="153"/>
      <c r="Y257" s="153"/>
      <c r="Z257" s="153"/>
      <c r="AA257" s="153"/>
      <c r="AB257" s="153"/>
      <c r="AC257" s="153"/>
      <c r="AD257" s="153"/>
      <c r="AE257" s="153"/>
      <c r="AF257" s="153"/>
      <c r="AG257" s="153"/>
      <c r="AH257" s="153"/>
      <c r="AI257" s="153"/>
      <c r="AJ257" s="153"/>
      <c r="AK257" s="153"/>
      <c r="AL257" s="153"/>
      <c r="AM257" s="153"/>
      <c r="AN257" s="153"/>
      <c r="AO257" s="153"/>
      <c r="AP257" s="153"/>
      <c r="AQ257" s="153"/>
      <c r="AR257" s="153"/>
      <c r="AS257" s="153"/>
      <c r="AT257" s="153"/>
      <c r="AU257" s="153"/>
      <c r="AV257" s="153"/>
      <c r="AW257" s="153"/>
      <c r="AX257" s="153"/>
      <c r="AY257" s="153"/>
    </row>
    <row r="258" spans="15:51" x14ac:dyDescent="0.2">
      <c r="O258" s="153"/>
      <c r="P258" s="153"/>
      <c r="Q258" s="153"/>
      <c r="R258" s="153"/>
      <c r="S258" s="153"/>
      <c r="T258" s="153"/>
      <c r="U258" s="153"/>
      <c r="V258" s="153"/>
      <c r="W258" s="153"/>
      <c r="X258" s="153"/>
      <c r="Y258" s="153"/>
      <c r="Z258" s="153"/>
      <c r="AA258" s="153"/>
      <c r="AB258" s="153"/>
      <c r="AC258" s="153"/>
      <c r="AD258" s="153"/>
      <c r="AE258" s="153"/>
      <c r="AF258" s="153"/>
      <c r="AG258" s="153"/>
      <c r="AH258" s="153"/>
      <c r="AI258" s="153"/>
      <c r="AJ258" s="153"/>
      <c r="AK258" s="153"/>
      <c r="AL258" s="153"/>
      <c r="AM258" s="153"/>
      <c r="AN258" s="153"/>
      <c r="AO258" s="153"/>
      <c r="AP258" s="153"/>
      <c r="AQ258" s="153"/>
      <c r="AR258" s="153"/>
      <c r="AS258" s="153"/>
      <c r="AT258" s="153"/>
      <c r="AU258" s="153"/>
      <c r="AV258" s="153"/>
      <c r="AW258" s="153"/>
      <c r="AX258" s="153"/>
      <c r="AY258" s="153"/>
    </row>
    <row r="259" spans="15:51" x14ac:dyDescent="0.2">
      <c r="O259" s="153"/>
      <c r="P259" s="153"/>
      <c r="Q259" s="153"/>
      <c r="R259" s="153"/>
      <c r="S259" s="153"/>
      <c r="T259" s="153"/>
      <c r="U259" s="153"/>
      <c r="V259" s="153"/>
      <c r="W259" s="153"/>
      <c r="X259" s="153"/>
      <c r="Y259" s="153"/>
      <c r="Z259" s="153"/>
      <c r="AA259" s="153"/>
      <c r="AB259" s="153"/>
      <c r="AC259" s="153"/>
      <c r="AD259" s="153"/>
      <c r="AE259" s="153"/>
      <c r="AF259" s="153"/>
      <c r="AG259" s="153"/>
      <c r="AH259" s="153"/>
      <c r="AI259" s="153"/>
      <c r="AJ259" s="153"/>
      <c r="AK259" s="153"/>
      <c r="AL259" s="153"/>
      <c r="AM259" s="153"/>
      <c r="AN259" s="153"/>
      <c r="AO259" s="153"/>
      <c r="AP259" s="153"/>
      <c r="AQ259" s="153"/>
      <c r="AR259" s="153"/>
      <c r="AS259" s="153"/>
      <c r="AT259" s="153"/>
      <c r="AU259" s="153"/>
      <c r="AV259" s="153"/>
      <c r="AW259" s="153"/>
      <c r="AX259" s="153"/>
      <c r="AY259" s="153"/>
    </row>
    <row r="260" spans="15:51" x14ac:dyDescent="0.2">
      <c r="O260" s="153"/>
      <c r="P260" s="153"/>
      <c r="Q260" s="153"/>
      <c r="R260" s="153"/>
      <c r="S260" s="153"/>
      <c r="T260" s="153"/>
      <c r="U260" s="153"/>
      <c r="V260" s="153"/>
      <c r="W260" s="153"/>
      <c r="X260" s="153"/>
      <c r="Y260" s="153"/>
      <c r="Z260" s="153"/>
      <c r="AA260" s="153"/>
      <c r="AB260" s="153"/>
      <c r="AC260" s="153"/>
      <c r="AD260" s="153"/>
      <c r="AE260" s="153"/>
      <c r="AF260" s="153"/>
      <c r="AG260" s="153"/>
      <c r="AH260" s="153"/>
      <c r="AI260" s="153"/>
      <c r="AJ260" s="153"/>
      <c r="AK260" s="153"/>
      <c r="AL260" s="153"/>
      <c r="AM260" s="153"/>
      <c r="AN260" s="153"/>
      <c r="AO260" s="153"/>
      <c r="AP260" s="153"/>
      <c r="AQ260" s="153"/>
      <c r="AR260" s="153"/>
      <c r="AS260" s="153"/>
      <c r="AT260" s="153"/>
      <c r="AU260" s="153"/>
      <c r="AV260" s="153"/>
      <c r="AW260" s="153"/>
      <c r="AX260" s="153"/>
      <c r="AY260" s="153"/>
    </row>
    <row r="261" spans="15:51" x14ac:dyDescent="0.2">
      <c r="O261" s="153"/>
      <c r="P261" s="153"/>
      <c r="Q261" s="153"/>
      <c r="R261" s="153"/>
      <c r="S261" s="153"/>
      <c r="T261" s="153"/>
      <c r="U261" s="153"/>
      <c r="V261" s="153"/>
      <c r="W261" s="153"/>
      <c r="X261" s="153"/>
      <c r="Y261" s="153"/>
      <c r="Z261" s="153"/>
      <c r="AA261" s="153"/>
      <c r="AB261" s="153"/>
      <c r="AC261" s="153"/>
      <c r="AD261" s="153"/>
      <c r="AE261" s="153"/>
      <c r="AF261" s="153"/>
      <c r="AG261" s="153"/>
      <c r="AH261" s="153"/>
      <c r="AI261" s="153"/>
      <c r="AJ261" s="153"/>
      <c r="AK261" s="153"/>
      <c r="AL261" s="153"/>
      <c r="AM261" s="153"/>
      <c r="AN261" s="153"/>
      <c r="AO261" s="153"/>
      <c r="AP261" s="153"/>
      <c r="AQ261" s="153"/>
      <c r="AR261" s="153"/>
      <c r="AS261" s="153"/>
      <c r="AT261" s="153"/>
      <c r="AU261" s="153"/>
      <c r="AV261" s="153"/>
      <c r="AW261" s="153"/>
      <c r="AX261" s="153"/>
      <c r="AY261" s="153"/>
    </row>
    <row r="262" spans="15:51" x14ac:dyDescent="0.2">
      <c r="O262" s="153"/>
      <c r="P262" s="153"/>
      <c r="Q262" s="153"/>
      <c r="R262" s="153"/>
      <c r="S262" s="153"/>
      <c r="T262" s="153"/>
      <c r="U262" s="153"/>
      <c r="V262" s="153"/>
      <c r="W262" s="153"/>
      <c r="X262" s="153"/>
      <c r="Y262" s="153"/>
      <c r="Z262" s="153"/>
      <c r="AA262" s="153"/>
      <c r="AB262" s="153"/>
      <c r="AC262" s="153"/>
      <c r="AD262" s="153"/>
      <c r="AE262" s="153"/>
      <c r="AF262" s="153"/>
      <c r="AG262" s="153"/>
      <c r="AH262" s="153"/>
      <c r="AI262" s="153"/>
      <c r="AJ262" s="153"/>
      <c r="AK262" s="153"/>
      <c r="AL262" s="153"/>
      <c r="AM262" s="153"/>
      <c r="AN262" s="153"/>
      <c r="AO262" s="153"/>
      <c r="AP262" s="153"/>
      <c r="AQ262" s="153"/>
      <c r="AR262" s="153"/>
      <c r="AS262" s="153"/>
      <c r="AT262" s="153"/>
      <c r="AU262" s="153"/>
      <c r="AV262" s="153"/>
      <c r="AW262" s="153"/>
      <c r="AX262" s="153"/>
      <c r="AY262" s="153"/>
    </row>
    <row r="263" spans="15:51" x14ac:dyDescent="0.2">
      <c r="O263" s="153"/>
      <c r="P263" s="153"/>
      <c r="Q263" s="153"/>
      <c r="R263" s="153"/>
      <c r="S263" s="153"/>
      <c r="T263" s="153"/>
      <c r="U263" s="153"/>
      <c r="V263" s="153"/>
      <c r="W263" s="153"/>
      <c r="X263" s="153"/>
      <c r="Y263" s="153"/>
      <c r="Z263" s="153"/>
      <c r="AA263" s="153"/>
      <c r="AB263" s="153"/>
      <c r="AC263" s="153"/>
      <c r="AD263" s="153"/>
      <c r="AE263" s="153"/>
      <c r="AF263" s="153"/>
      <c r="AG263" s="153"/>
      <c r="AH263" s="153"/>
      <c r="AI263" s="153"/>
      <c r="AJ263" s="153"/>
      <c r="AK263" s="153"/>
      <c r="AL263" s="153"/>
      <c r="AM263" s="153"/>
      <c r="AN263" s="153"/>
      <c r="AO263" s="153"/>
      <c r="AP263" s="153"/>
      <c r="AQ263" s="153"/>
      <c r="AR263" s="153"/>
      <c r="AS263" s="153"/>
      <c r="AT263" s="153"/>
      <c r="AU263" s="153"/>
      <c r="AV263" s="153"/>
      <c r="AW263" s="153"/>
      <c r="AX263" s="153"/>
      <c r="AY263" s="153"/>
    </row>
    <row r="264" spans="15:51" x14ac:dyDescent="0.2">
      <c r="O264" s="153"/>
      <c r="P264" s="153"/>
      <c r="Q264" s="153"/>
      <c r="R264" s="153"/>
      <c r="S264" s="153"/>
      <c r="T264" s="153"/>
      <c r="U264" s="153"/>
      <c r="V264" s="153"/>
      <c r="W264" s="153"/>
      <c r="X264" s="153"/>
      <c r="Y264" s="153"/>
      <c r="Z264" s="153"/>
      <c r="AA264" s="153"/>
      <c r="AB264" s="153"/>
      <c r="AC264" s="153"/>
      <c r="AD264" s="153"/>
      <c r="AE264" s="153"/>
      <c r="AF264" s="153"/>
      <c r="AG264" s="153"/>
      <c r="AH264" s="153"/>
      <c r="AI264" s="153"/>
      <c r="AJ264" s="153"/>
      <c r="AK264" s="153"/>
      <c r="AL264" s="153"/>
      <c r="AM264" s="153"/>
      <c r="AN264" s="153"/>
      <c r="AO264" s="153"/>
      <c r="AP264" s="153"/>
      <c r="AQ264" s="153"/>
      <c r="AR264" s="153"/>
      <c r="AS264" s="153"/>
      <c r="AT264" s="153"/>
      <c r="AU264" s="153"/>
      <c r="AV264" s="153"/>
      <c r="AW264" s="153"/>
      <c r="AX264" s="153"/>
      <c r="AY264" s="153"/>
    </row>
    <row r="265" spans="15:51" x14ac:dyDescent="0.2">
      <c r="O265" s="153"/>
      <c r="P265" s="153"/>
      <c r="Q265" s="153"/>
      <c r="R265" s="153"/>
      <c r="S265" s="153"/>
      <c r="T265" s="153"/>
      <c r="U265" s="153"/>
      <c r="V265" s="153"/>
      <c r="W265" s="153"/>
      <c r="X265" s="153"/>
      <c r="Y265" s="153"/>
      <c r="Z265" s="153"/>
      <c r="AA265" s="153"/>
      <c r="AB265" s="153"/>
      <c r="AC265" s="153"/>
      <c r="AD265" s="153"/>
      <c r="AE265" s="153"/>
      <c r="AF265" s="153"/>
      <c r="AG265" s="153"/>
      <c r="AH265" s="153"/>
      <c r="AI265" s="153"/>
      <c r="AJ265" s="153"/>
      <c r="AK265" s="153"/>
      <c r="AL265" s="153"/>
      <c r="AM265" s="153"/>
      <c r="AN265" s="153"/>
      <c r="AO265" s="153"/>
      <c r="AP265" s="153"/>
      <c r="AQ265" s="153"/>
      <c r="AR265" s="153"/>
      <c r="AS265" s="153"/>
      <c r="AT265" s="153"/>
      <c r="AU265" s="153"/>
      <c r="AV265" s="153"/>
      <c r="AW265" s="153"/>
      <c r="AX265" s="153"/>
      <c r="AY265" s="153"/>
    </row>
    <row r="266" spans="15:51" x14ac:dyDescent="0.2">
      <c r="O266" s="153"/>
      <c r="P266" s="153"/>
      <c r="Q266" s="153"/>
      <c r="R266" s="153"/>
      <c r="S266" s="153"/>
      <c r="T266" s="153"/>
      <c r="U266" s="153"/>
      <c r="V266" s="153"/>
      <c r="W266" s="153"/>
      <c r="X266" s="153"/>
      <c r="Y266" s="153"/>
      <c r="Z266" s="153"/>
      <c r="AA266" s="153"/>
      <c r="AB266" s="153"/>
      <c r="AC266" s="153"/>
      <c r="AD266" s="153"/>
      <c r="AE266" s="153"/>
      <c r="AF266" s="153"/>
      <c r="AG266" s="153"/>
      <c r="AH266" s="153"/>
      <c r="AI266" s="153"/>
      <c r="AJ266" s="153"/>
      <c r="AK266" s="153"/>
      <c r="AL266" s="153"/>
      <c r="AM266" s="153"/>
      <c r="AN266" s="153"/>
      <c r="AO266" s="153"/>
      <c r="AP266" s="153"/>
      <c r="AQ266" s="153"/>
      <c r="AR266" s="153"/>
      <c r="AS266" s="153"/>
      <c r="AT266" s="153"/>
      <c r="AU266" s="153"/>
      <c r="AV266" s="153"/>
      <c r="AW266" s="153"/>
      <c r="AX266" s="153"/>
      <c r="AY266" s="153"/>
    </row>
    <row r="267" spans="15:51" x14ac:dyDescent="0.2">
      <c r="O267" s="153"/>
      <c r="P267" s="153"/>
      <c r="Q267" s="153"/>
      <c r="R267" s="153"/>
      <c r="S267" s="153"/>
      <c r="T267" s="153"/>
      <c r="U267" s="153"/>
      <c r="V267" s="153"/>
      <c r="W267" s="153"/>
      <c r="X267" s="153"/>
      <c r="Y267" s="153"/>
      <c r="Z267" s="153"/>
      <c r="AA267" s="153"/>
      <c r="AB267" s="153"/>
      <c r="AC267" s="153"/>
      <c r="AD267" s="153"/>
      <c r="AE267" s="153"/>
      <c r="AF267" s="153"/>
      <c r="AG267" s="153"/>
      <c r="AH267" s="153"/>
      <c r="AI267" s="153"/>
      <c r="AJ267" s="153"/>
      <c r="AK267" s="153"/>
      <c r="AL267" s="153"/>
      <c r="AM267" s="153"/>
      <c r="AN267" s="153"/>
      <c r="AO267" s="153"/>
      <c r="AP267" s="153"/>
      <c r="AQ267" s="153"/>
      <c r="AR267" s="153"/>
      <c r="AS267" s="153"/>
      <c r="AT267" s="153"/>
      <c r="AU267" s="153"/>
      <c r="AV267" s="153"/>
      <c r="AW267" s="153"/>
      <c r="AX267" s="153"/>
      <c r="AY267" s="153"/>
    </row>
    <row r="268" spans="15:51" x14ac:dyDescent="0.2">
      <c r="O268" s="153"/>
      <c r="P268" s="153"/>
      <c r="Q268" s="153"/>
      <c r="R268" s="153"/>
      <c r="S268" s="153"/>
      <c r="T268" s="153"/>
      <c r="U268" s="153"/>
      <c r="V268" s="153"/>
      <c r="W268" s="153"/>
      <c r="X268" s="153"/>
      <c r="Y268" s="153"/>
      <c r="Z268" s="153"/>
      <c r="AA268" s="153"/>
      <c r="AB268" s="153"/>
      <c r="AC268" s="153"/>
      <c r="AD268" s="153"/>
      <c r="AE268" s="153"/>
      <c r="AF268" s="153"/>
      <c r="AG268" s="153"/>
      <c r="AH268" s="153"/>
      <c r="AI268" s="153"/>
      <c r="AJ268" s="153"/>
      <c r="AK268" s="153"/>
      <c r="AL268" s="153"/>
      <c r="AM268" s="153"/>
      <c r="AN268" s="153"/>
      <c r="AO268" s="153"/>
      <c r="AP268" s="153"/>
      <c r="AQ268" s="153"/>
      <c r="AR268" s="153"/>
      <c r="AS268" s="153"/>
      <c r="AT268" s="153"/>
      <c r="AU268" s="153"/>
      <c r="AV268" s="153"/>
      <c r="AW268" s="153"/>
      <c r="AX268" s="153"/>
      <c r="AY268" s="153"/>
    </row>
    <row r="269" spans="15:51" x14ac:dyDescent="0.2">
      <c r="O269" s="153"/>
      <c r="P269" s="153"/>
      <c r="Q269" s="153"/>
      <c r="R269" s="153"/>
      <c r="S269" s="153"/>
      <c r="T269" s="153"/>
      <c r="U269" s="153"/>
      <c r="V269" s="153"/>
      <c r="W269" s="153"/>
      <c r="X269" s="153"/>
      <c r="Y269" s="153"/>
      <c r="Z269" s="153"/>
      <c r="AA269" s="153"/>
      <c r="AB269" s="153"/>
      <c r="AC269" s="153"/>
      <c r="AD269" s="153"/>
      <c r="AE269" s="153"/>
      <c r="AF269" s="153"/>
      <c r="AG269" s="153"/>
      <c r="AH269" s="153"/>
      <c r="AI269" s="153"/>
      <c r="AJ269" s="153"/>
      <c r="AK269" s="153"/>
      <c r="AL269" s="153"/>
      <c r="AM269" s="153"/>
      <c r="AN269" s="153"/>
      <c r="AO269" s="153"/>
      <c r="AP269" s="153"/>
      <c r="AQ269" s="153"/>
      <c r="AR269" s="153"/>
      <c r="AS269" s="153"/>
      <c r="AT269" s="153"/>
      <c r="AU269" s="153"/>
      <c r="AV269" s="153"/>
      <c r="AW269" s="153"/>
      <c r="AX269" s="153"/>
      <c r="AY269" s="153"/>
    </row>
    <row r="270" spans="15:51" x14ac:dyDescent="0.2">
      <c r="O270" s="153"/>
      <c r="P270" s="153"/>
      <c r="Q270" s="153"/>
      <c r="R270" s="153"/>
      <c r="S270" s="153"/>
      <c r="T270" s="153"/>
      <c r="U270" s="153"/>
      <c r="V270" s="153"/>
      <c r="W270" s="153"/>
      <c r="X270" s="153"/>
      <c r="Y270" s="153"/>
      <c r="Z270" s="153"/>
      <c r="AA270" s="153"/>
      <c r="AB270" s="153"/>
      <c r="AC270" s="153"/>
      <c r="AD270" s="153"/>
      <c r="AE270" s="153"/>
      <c r="AF270" s="153"/>
      <c r="AG270" s="153"/>
      <c r="AH270" s="153"/>
      <c r="AI270" s="153"/>
      <c r="AJ270" s="153"/>
      <c r="AK270" s="153"/>
      <c r="AL270" s="153"/>
      <c r="AM270" s="153"/>
      <c r="AN270" s="153"/>
      <c r="AO270" s="153"/>
      <c r="AP270" s="153"/>
      <c r="AQ270" s="153"/>
      <c r="AR270" s="153"/>
      <c r="AS270" s="153"/>
      <c r="AT270" s="153"/>
      <c r="AU270" s="153"/>
      <c r="AV270" s="153"/>
      <c r="AW270" s="153"/>
      <c r="AX270" s="153"/>
      <c r="AY270" s="153"/>
    </row>
    <row r="271" spans="15:51" x14ac:dyDescent="0.2">
      <c r="O271" s="153"/>
      <c r="P271" s="153"/>
      <c r="Q271" s="153"/>
      <c r="R271" s="153"/>
      <c r="S271" s="153"/>
      <c r="T271" s="153"/>
      <c r="U271" s="153"/>
      <c r="V271" s="153"/>
      <c r="W271" s="153"/>
      <c r="X271" s="153"/>
      <c r="Y271" s="153"/>
      <c r="Z271" s="153"/>
      <c r="AA271" s="153"/>
      <c r="AB271" s="153"/>
      <c r="AC271" s="153"/>
      <c r="AD271" s="153"/>
      <c r="AE271" s="153"/>
      <c r="AF271" s="153"/>
      <c r="AG271" s="153"/>
      <c r="AH271" s="153"/>
      <c r="AI271" s="153"/>
      <c r="AJ271" s="153"/>
      <c r="AK271" s="153"/>
      <c r="AL271" s="153"/>
      <c r="AM271" s="153"/>
      <c r="AN271" s="153"/>
      <c r="AO271" s="153"/>
      <c r="AP271" s="153"/>
      <c r="AQ271" s="153"/>
      <c r="AR271" s="153"/>
      <c r="AS271" s="153"/>
      <c r="AT271" s="153"/>
      <c r="AU271" s="153"/>
      <c r="AV271" s="153"/>
      <c r="AW271" s="153"/>
      <c r="AX271" s="153"/>
      <c r="AY271" s="153"/>
    </row>
    <row r="272" spans="15:51" x14ac:dyDescent="0.2">
      <c r="O272" s="153"/>
      <c r="P272" s="153"/>
      <c r="Q272" s="153"/>
      <c r="R272" s="153"/>
      <c r="S272" s="153"/>
      <c r="T272" s="153"/>
      <c r="U272" s="153"/>
      <c r="V272" s="153"/>
      <c r="W272" s="153"/>
      <c r="X272" s="153"/>
      <c r="Y272" s="153"/>
      <c r="Z272" s="153"/>
      <c r="AA272" s="153"/>
      <c r="AB272" s="153"/>
      <c r="AC272" s="153"/>
      <c r="AD272" s="153"/>
      <c r="AE272" s="153"/>
      <c r="AF272" s="153"/>
      <c r="AG272" s="153"/>
      <c r="AH272" s="153"/>
      <c r="AI272" s="153"/>
      <c r="AJ272" s="153"/>
      <c r="AK272" s="153"/>
      <c r="AL272" s="153"/>
      <c r="AM272" s="153"/>
      <c r="AN272" s="153"/>
      <c r="AO272" s="153"/>
      <c r="AP272" s="153"/>
      <c r="AQ272" s="153"/>
      <c r="AR272" s="153"/>
      <c r="AS272" s="153"/>
      <c r="AT272" s="153"/>
      <c r="AU272" s="153"/>
      <c r="AV272" s="153"/>
      <c r="AW272" s="153"/>
      <c r="AX272" s="153"/>
      <c r="AY272" s="153"/>
    </row>
    <row r="273" spans="15:51" x14ac:dyDescent="0.2">
      <c r="O273" s="153"/>
      <c r="P273" s="153"/>
      <c r="Q273" s="153"/>
      <c r="R273" s="153"/>
      <c r="S273" s="153"/>
      <c r="T273" s="153"/>
      <c r="U273" s="153"/>
      <c r="V273" s="153"/>
      <c r="W273" s="153"/>
      <c r="X273" s="153"/>
      <c r="Y273" s="153"/>
      <c r="Z273" s="153"/>
      <c r="AA273" s="153"/>
      <c r="AB273" s="153"/>
      <c r="AC273" s="153"/>
      <c r="AD273" s="153"/>
      <c r="AE273" s="153"/>
      <c r="AF273" s="153"/>
      <c r="AG273" s="153"/>
      <c r="AH273" s="153"/>
      <c r="AI273" s="153"/>
      <c r="AJ273" s="153"/>
      <c r="AK273" s="153"/>
      <c r="AL273" s="153"/>
      <c r="AM273" s="153"/>
      <c r="AN273" s="153"/>
      <c r="AO273" s="153"/>
      <c r="AP273" s="153"/>
      <c r="AQ273" s="153"/>
      <c r="AR273" s="153"/>
      <c r="AS273" s="153"/>
      <c r="AT273" s="153"/>
      <c r="AU273" s="153"/>
      <c r="AV273" s="153"/>
      <c r="AW273" s="153"/>
      <c r="AX273" s="153"/>
      <c r="AY273" s="153"/>
    </row>
    <row r="274" spans="15:51" x14ac:dyDescent="0.2">
      <c r="O274" s="153"/>
      <c r="P274" s="153"/>
      <c r="Q274" s="153"/>
      <c r="R274" s="153"/>
      <c r="S274" s="153"/>
      <c r="T274" s="153"/>
      <c r="U274" s="153"/>
      <c r="V274" s="153"/>
      <c r="W274" s="153"/>
      <c r="X274" s="153"/>
      <c r="Y274" s="153"/>
      <c r="Z274" s="153"/>
      <c r="AA274" s="153"/>
      <c r="AB274" s="153"/>
      <c r="AC274" s="153"/>
      <c r="AD274" s="153"/>
      <c r="AE274" s="153"/>
      <c r="AF274" s="153"/>
      <c r="AG274" s="153"/>
      <c r="AH274" s="153"/>
      <c r="AI274" s="153"/>
      <c r="AJ274" s="153"/>
      <c r="AK274" s="153"/>
      <c r="AL274" s="153"/>
      <c r="AM274" s="153"/>
      <c r="AN274" s="153"/>
      <c r="AO274" s="153"/>
      <c r="AP274" s="153"/>
      <c r="AQ274" s="153"/>
      <c r="AR274" s="153"/>
      <c r="AS274" s="153"/>
      <c r="AT274" s="153"/>
      <c r="AU274" s="153"/>
      <c r="AV274" s="153"/>
      <c r="AW274" s="153"/>
      <c r="AX274" s="153"/>
      <c r="AY274" s="153"/>
    </row>
    <row r="275" spans="15:51" x14ac:dyDescent="0.2">
      <c r="O275" s="153"/>
      <c r="P275" s="153"/>
      <c r="Q275" s="153"/>
      <c r="R275" s="153"/>
      <c r="S275" s="153"/>
      <c r="T275" s="153"/>
      <c r="U275" s="153"/>
      <c r="V275" s="153"/>
      <c r="W275" s="153"/>
      <c r="X275" s="153"/>
      <c r="Y275" s="153"/>
      <c r="Z275" s="153"/>
      <c r="AA275" s="153"/>
      <c r="AB275" s="153"/>
      <c r="AC275" s="153"/>
      <c r="AD275" s="153"/>
      <c r="AE275" s="153"/>
      <c r="AF275" s="153"/>
      <c r="AG275" s="153"/>
      <c r="AH275" s="153"/>
      <c r="AI275" s="153"/>
      <c r="AJ275" s="153"/>
      <c r="AK275" s="153"/>
      <c r="AL275" s="153"/>
      <c r="AM275" s="153"/>
      <c r="AN275" s="153"/>
      <c r="AO275" s="153"/>
      <c r="AP275" s="153"/>
      <c r="AQ275" s="153"/>
      <c r="AR275" s="153"/>
      <c r="AS275" s="153"/>
      <c r="AT275" s="153"/>
      <c r="AU275" s="153"/>
      <c r="AV275" s="153"/>
      <c r="AW275" s="153"/>
      <c r="AX275" s="153"/>
      <c r="AY275" s="153"/>
    </row>
    <row r="276" spans="15:51" x14ac:dyDescent="0.2">
      <c r="O276" s="153"/>
      <c r="P276" s="153"/>
      <c r="Q276" s="153"/>
      <c r="R276" s="153"/>
      <c r="S276" s="153"/>
      <c r="T276" s="153"/>
      <c r="U276" s="153"/>
      <c r="V276" s="153"/>
      <c r="W276" s="153"/>
      <c r="X276" s="153"/>
      <c r="Y276" s="153"/>
      <c r="Z276" s="153"/>
      <c r="AA276" s="153"/>
      <c r="AB276" s="153"/>
      <c r="AC276" s="153"/>
      <c r="AD276" s="153"/>
      <c r="AE276" s="153"/>
      <c r="AF276" s="153"/>
      <c r="AG276" s="153"/>
      <c r="AH276" s="153"/>
      <c r="AI276" s="153"/>
      <c r="AJ276" s="153"/>
      <c r="AK276" s="153"/>
      <c r="AL276" s="153"/>
      <c r="AM276" s="153"/>
      <c r="AN276" s="153"/>
      <c r="AO276" s="153"/>
      <c r="AP276" s="153"/>
      <c r="AQ276" s="153"/>
      <c r="AR276" s="153"/>
      <c r="AS276" s="153"/>
      <c r="AT276" s="153"/>
      <c r="AU276" s="153"/>
      <c r="AV276" s="153"/>
      <c r="AW276" s="153"/>
      <c r="AX276" s="153"/>
      <c r="AY276" s="153"/>
    </row>
    <row r="277" spans="15:51" x14ac:dyDescent="0.2">
      <c r="O277" s="153"/>
      <c r="P277" s="153"/>
      <c r="Q277" s="153"/>
      <c r="R277" s="153"/>
      <c r="S277" s="153"/>
      <c r="T277" s="153"/>
      <c r="U277" s="153"/>
      <c r="V277" s="153"/>
      <c r="W277" s="153"/>
      <c r="X277" s="153"/>
      <c r="Y277" s="153"/>
      <c r="Z277" s="153"/>
      <c r="AA277" s="153"/>
      <c r="AB277" s="153"/>
      <c r="AC277" s="153"/>
      <c r="AD277" s="153"/>
      <c r="AE277" s="153"/>
      <c r="AF277" s="153"/>
      <c r="AG277" s="153"/>
      <c r="AH277" s="153"/>
      <c r="AI277" s="153"/>
      <c r="AJ277" s="153"/>
      <c r="AK277" s="153"/>
      <c r="AL277" s="153"/>
      <c r="AM277" s="153"/>
      <c r="AN277" s="153"/>
      <c r="AO277" s="153"/>
      <c r="AP277" s="153"/>
      <c r="AQ277" s="153"/>
      <c r="AR277" s="153"/>
      <c r="AS277" s="153"/>
      <c r="AT277" s="153"/>
      <c r="AU277" s="153"/>
      <c r="AV277" s="153"/>
      <c r="AW277" s="153"/>
      <c r="AX277" s="153"/>
      <c r="AY277" s="153"/>
    </row>
    <row r="278" spans="15:51" x14ac:dyDescent="0.2">
      <c r="O278" s="153"/>
      <c r="P278" s="153"/>
      <c r="Q278" s="153"/>
      <c r="R278" s="153"/>
      <c r="S278" s="153"/>
      <c r="T278" s="153"/>
      <c r="U278" s="153"/>
      <c r="V278" s="153"/>
      <c r="W278" s="153"/>
      <c r="X278" s="153"/>
      <c r="Y278" s="153"/>
      <c r="Z278" s="153"/>
      <c r="AA278" s="153"/>
      <c r="AB278" s="153"/>
      <c r="AC278" s="153"/>
      <c r="AD278" s="153"/>
      <c r="AE278" s="153"/>
      <c r="AF278" s="153"/>
      <c r="AG278" s="153"/>
      <c r="AH278" s="153"/>
      <c r="AI278" s="153"/>
      <c r="AJ278" s="153"/>
      <c r="AK278" s="153"/>
      <c r="AL278" s="153"/>
      <c r="AM278" s="153"/>
      <c r="AN278" s="153"/>
      <c r="AO278" s="153"/>
      <c r="AP278" s="153"/>
      <c r="AQ278" s="153"/>
      <c r="AR278" s="153"/>
      <c r="AS278" s="153"/>
      <c r="AT278" s="153"/>
      <c r="AU278" s="153"/>
      <c r="AV278" s="153"/>
      <c r="AW278" s="153"/>
      <c r="AX278" s="153"/>
      <c r="AY278" s="153"/>
    </row>
    <row r="279" spans="15:51" x14ac:dyDescent="0.2">
      <c r="O279" s="153"/>
      <c r="P279" s="153"/>
      <c r="Q279" s="153"/>
      <c r="R279" s="153"/>
      <c r="S279" s="153"/>
      <c r="T279" s="153"/>
      <c r="U279" s="153"/>
      <c r="V279" s="153"/>
      <c r="W279" s="153"/>
      <c r="X279" s="153"/>
      <c r="Y279" s="153"/>
      <c r="Z279" s="153"/>
      <c r="AA279" s="153"/>
      <c r="AB279" s="153"/>
      <c r="AC279" s="153"/>
      <c r="AD279" s="153"/>
      <c r="AE279" s="153"/>
      <c r="AF279" s="153"/>
      <c r="AG279" s="153"/>
      <c r="AH279" s="153"/>
      <c r="AI279" s="153"/>
      <c r="AJ279" s="153"/>
      <c r="AK279" s="153"/>
      <c r="AL279" s="153"/>
      <c r="AM279" s="153"/>
      <c r="AN279" s="153"/>
      <c r="AO279" s="153"/>
      <c r="AP279" s="153"/>
      <c r="AQ279" s="153"/>
      <c r="AR279" s="153"/>
      <c r="AS279" s="153"/>
      <c r="AT279" s="153"/>
      <c r="AU279" s="153"/>
      <c r="AV279" s="153"/>
      <c r="AW279" s="153"/>
      <c r="AX279" s="153"/>
      <c r="AY279" s="153"/>
    </row>
    <row r="280" spans="15:51" x14ac:dyDescent="0.2">
      <c r="O280" s="153"/>
      <c r="P280" s="153"/>
      <c r="Q280" s="153"/>
      <c r="R280" s="153"/>
      <c r="S280" s="153"/>
      <c r="T280" s="153"/>
      <c r="U280" s="153"/>
      <c r="V280" s="153"/>
      <c r="W280" s="153"/>
      <c r="X280" s="153"/>
      <c r="Y280" s="153"/>
      <c r="Z280" s="153"/>
      <c r="AA280" s="153"/>
      <c r="AB280" s="153"/>
      <c r="AC280" s="153"/>
      <c r="AD280" s="153"/>
      <c r="AE280" s="153"/>
      <c r="AF280" s="153"/>
      <c r="AG280" s="153"/>
      <c r="AH280" s="153"/>
      <c r="AI280" s="153"/>
      <c r="AJ280" s="153"/>
      <c r="AK280" s="153"/>
      <c r="AL280" s="153"/>
      <c r="AM280" s="153"/>
      <c r="AN280" s="153"/>
      <c r="AO280" s="153"/>
      <c r="AP280" s="153"/>
      <c r="AQ280" s="153"/>
      <c r="AR280" s="153"/>
      <c r="AS280" s="153"/>
      <c r="AT280" s="153"/>
      <c r="AU280" s="153"/>
      <c r="AV280" s="153"/>
      <c r="AW280" s="153"/>
      <c r="AX280" s="153"/>
      <c r="AY280" s="153"/>
    </row>
    <row r="281" spans="15:51" x14ac:dyDescent="0.2">
      <c r="O281" s="153"/>
      <c r="P281" s="153"/>
      <c r="Q281" s="153"/>
      <c r="R281" s="153"/>
      <c r="S281" s="153"/>
      <c r="T281" s="153"/>
      <c r="U281" s="153"/>
      <c r="V281" s="153"/>
      <c r="W281" s="153"/>
      <c r="X281" s="153"/>
      <c r="Y281" s="153"/>
      <c r="Z281" s="153"/>
      <c r="AA281" s="153"/>
      <c r="AB281" s="153"/>
      <c r="AC281" s="153"/>
      <c r="AD281" s="153"/>
      <c r="AE281" s="153"/>
      <c r="AF281" s="153"/>
      <c r="AG281" s="153"/>
      <c r="AH281" s="153"/>
      <c r="AI281" s="153"/>
      <c r="AJ281" s="153"/>
      <c r="AK281" s="153"/>
      <c r="AL281" s="153"/>
      <c r="AM281" s="153"/>
      <c r="AN281" s="153"/>
      <c r="AO281" s="153"/>
      <c r="AP281" s="153"/>
      <c r="AQ281" s="153"/>
      <c r="AR281" s="153"/>
      <c r="AS281" s="153"/>
      <c r="AT281" s="153"/>
      <c r="AU281" s="153"/>
      <c r="AV281" s="153"/>
      <c r="AW281" s="153"/>
      <c r="AX281" s="153"/>
      <c r="AY281" s="153"/>
    </row>
    <row r="282" spans="15:51" x14ac:dyDescent="0.2">
      <c r="O282" s="153"/>
      <c r="P282" s="153"/>
      <c r="Q282" s="153"/>
      <c r="R282" s="153"/>
      <c r="S282" s="153"/>
      <c r="T282" s="153"/>
      <c r="U282" s="153"/>
      <c r="V282" s="153"/>
      <c r="W282" s="153"/>
      <c r="X282" s="153"/>
      <c r="Y282" s="153"/>
      <c r="Z282" s="153"/>
      <c r="AA282" s="153"/>
      <c r="AB282" s="153"/>
      <c r="AC282" s="153"/>
      <c r="AD282" s="153"/>
      <c r="AE282" s="153"/>
      <c r="AF282" s="153"/>
      <c r="AG282" s="153"/>
      <c r="AH282" s="153"/>
      <c r="AI282" s="153"/>
      <c r="AJ282" s="153"/>
      <c r="AK282" s="153"/>
      <c r="AL282" s="153"/>
      <c r="AM282" s="153"/>
      <c r="AN282" s="153"/>
      <c r="AO282" s="153"/>
      <c r="AP282" s="153"/>
      <c r="AQ282" s="153"/>
      <c r="AR282" s="153"/>
      <c r="AS282" s="153"/>
      <c r="AT282" s="153"/>
      <c r="AU282" s="153"/>
      <c r="AV282" s="153"/>
      <c r="AW282" s="153"/>
      <c r="AX282" s="153"/>
      <c r="AY282" s="153"/>
    </row>
    <row r="283" spans="15:51" x14ac:dyDescent="0.2">
      <c r="O283" s="153"/>
      <c r="P283" s="153"/>
      <c r="Q283" s="153"/>
      <c r="R283" s="153"/>
      <c r="S283" s="153"/>
      <c r="T283" s="153"/>
      <c r="U283" s="153"/>
      <c r="V283" s="153"/>
      <c r="W283" s="153"/>
      <c r="X283" s="153"/>
      <c r="Y283" s="153"/>
      <c r="Z283" s="153"/>
      <c r="AA283" s="153"/>
      <c r="AB283" s="153"/>
      <c r="AC283" s="153"/>
      <c r="AD283" s="153"/>
      <c r="AE283" s="153"/>
      <c r="AF283" s="153"/>
      <c r="AG283" s="153"/>
      <c r="AH283" s="153"/>
      <c r="AI283" s="153"/>
      <c r="AJ283" s="153"/>
      <c r="AK283" s="153"/>
      <c r="AL283" s="153"/>
      <c r="AM283" s="153"/>
      <c r="AN283" s="153"/>
      <c r="AO283" s="153"/>
      <c r="AP283" s="153"/>
      <c r="AQ283" s="153"/>
      <c r="AR283" s="153"/>
      <c r="AS283" s="153"/>
      <c r="AT283" s="153"/>
      <c r="AU283" s="153"/>
      <c r="AV283" s="153"/>
      <c r="AW283" s="153"/>
      <c r="AX283" s="153"/>
      <c r="AY283" s="153"/>
    </row>
    <row r="284" spans="15:51" x14ac:dyDescent="0.2">
      <c r="O284" s="153"/>
      <c r="P284" s="153"/>
      <c r="Q284" s="153"/>
      <c r="R284" s="153"/>
      <c r="S284" s="153"/>
      <c r="T284" s="153"/>
      <c r="U284" s="153"/>
      <c r="V284" s="153"/>
      <c r="W284" s="153"/>
      <c r="X284" s="153"/>
      <c r="Y284" s="153"/>
      <c r="Z284" s="153"/>
      <c r="AA284" s="153"/>
      <c r="AB284" s="153"/>
      <c r="AC284" s="153"/>
      <c r="AD284" s="153"/>
      <c r="AE284" s="153"/>
      <c r="AF284" s="153"/>
      <c r="AG284" s="153"/>
      <c r="AH284" s="153"/>
      <c r="AI284" s="153"/>
      <c r="AJ284" s="153"/>
      <c r="AK284" s="153"/>
      <c r="AL284" s="153"/>
      <c r="AM284" s="153"/>
      <c r="AN284" s="153"/>
      <c r="AO284" s="153"/>
      <c r="AP284" s="153"/>
      <c r="AQ284" s="153"/>
      <c r="AR284" s="153"/>
      <c r="AS284" s="153"/>
      <c r="AT284" s="153"/>
      <c r="AU284" s="153"/>
      <c r="AV284" s="153"/>
      <c r="AW284" s="153"/>
      <c r="AX284" s="153"/>
      <c r="AY284" s="153"/>
    </row>
    <row r="285" spans="15:51" x14ac:dyDescent="0.2">
      <c r="O285" s="153"/>
      <c r="P285" s="153"/>
      <c r="Q285" s="153"/>
      <c r="R285" s="153"/>
      <c r="S285" s="153"/>
      <c r="T285" s="153"/>
      <c r="U285" s="153"/>
      <c r="V285" s="153"/>
      <c r="W285" s="153"/>
      <c r="X285" s="153"/>
      <c r="Y285" s="153"/>
      <c r="Z285" s="153"/>
      <c r="AA285" s="153"/>
      <c r="AB285" s="153"/>
      <c r="AC285" s="153"/>
      <c r="AD285" s="153"/>
      <c r="AE285" s="153"/>
      <c r="AF285" s="153"/>
      <c r="AG285" s="153"/>
      <c r="AH285" s="153"/>
      <c r="AI285" s="153"/>
      <c r="AJ285" s="153"/>
      <c r="AK285" s="153"/>
      <c r="AL285" s="153"/>
      <c r="AM285" s="153"/>
      <c r="AN285" s="153"/>
      <c r="AO285" s="153"/>
      <c r="AP285" s="153"/>
      <c r="AQ285" s="153"/>
      <c r="AR285" s="153"/>
      <c r="AS285" s="153"/>
      <c r="AT285" s="153"/>
      <c r="AU285" s="153"/>
      <c r="AV285" s="153"/>
      <c r="AW285" s="153"/>
      <c r="AX285" s="153"/>
      <c r="AY285" s="153"/>
    </row>
    <row r="286" spans="15:51" x14ac:dyDescent="0.2">
      <c r="O286" s="153"/>
      <c r="P286" s="153"/>
      <c r="Q286" s="153"/>
      <c r="R286" s="153"/>
      <c r="S286" s="153"/>
      <c r="T286" s="153"/>
      <c r="U286" s="153"/>
      <c r="V286" s="153"/>
      <c r="W286" s="153"/>
      <c r="X286" s="153"/>
      <c r="Y286" s="153"/>
      <c r="Z286" s="153"/>
      <c r="AA286" s="153"/>
      <c r="AB286" s="153"/>
      <c r="AC286" s="153"/>
      <c r="AD286" s="153"/>
      <c r="AE286" s="153"/>
      <c r="AF286" s="153"/>
      <c r="AG286" s="153"/>
      <c r="AH286" s="153"/>
      <c r="AI286" s="153"/>
      <c r="AJ286" s="153"/>
      <c r="AK286" s="153"/>
      <c r="AL286" s="153"/>
      <c r="AM286" s="153"/>
      <c r="AN286" s="153"/>
      <c r="AO286" s="153"/>
      <c r="AP286" s="153"/>
      <c r="AQ286" s="153"/>
      <c r="AR286" s="153"/>
      <c r="AS286" s="153"/>
      <c r="AT286" s="153"/>
      <c r="AU286" s="153"/>
      <c r="AV286" s="153"/>
      <c r="AW286" s="153"/>
      <c r="AX286" s="153"/>
      <c r="AY286" s="153"/>
    </row>
    <row r="287" spans="15:51" x14ac:dyDescent="0.2">
      <c r="O287" s="153"/>
      <c r="P287" s="153"/>
      <c r="Q287" s="153"/>
      <c r="R287" s="153"/>
      <c r="S287" s="153"/>
      <c r="T287" s="153"/>
      <c r="U287" s="153"/>
      <c r="V287" s="153"/>
      <c r="W287" s="153"/>
      <c r="X287" s="153"/>
      <c r="Y287" s="153"/>
      <c r="Z287" s="153"/>
      <c r="AA287" s="153"/>
      <c r="AB287" s="153"/>
      <c r="AC287" s="153"/>
      <c r="AD287" s="153"/>
      <c r="AE287" s="153"/>
      <c r="AF287" s="153"/>
      <c r="AG287" s="153"/>
      <c r="AH287" s="153"/>
      <c r="AI287" s="153"/>
      <c r="AJ287" s="153"/>
      <c r="AK287" s="153"/>
      <c r="AL287" s="153"/>
      <c r="AM287" s="153"/>
      <c r="AN287" s="153"/>
      <c r="AO287" s="153"/>
      <c r="AP287" s="153"/>
      <c r="AQ287" s="153"/>
      <c r="AR287" s="153"/>
      <c r="AS287" s="153"/>
      <c r="AT287" s="153"/>
      <c r="AU287" s="153"/>
      <c r="AV287" s="153"/>
      <c r="AW287" s="153"/>
      <c r="AX287" s="153"/>
      <c r="AY287" s="153"/>
    </row>
    <row r="288" spans="15:51" x14ac:dyDescent="0.2">
      <c r="O288" s="153"/>
      <c r="P288" s="153"/>
      <c r="Q288" s="153"/>
      <c r="R288" s="153"/>
      <c r="S288" s="153"/>
      <c r="T288" s="153"/>
      <c r="U288" s="153"/>
      <c r="V288" s="153"/>
      <c r="W288" s="153"/>
      <c r="X288" s="153"/>
      <c r="Y288" s="153"/>
      <c r="Z288" s="153"/>
      <c r="AA288" s="153"/>
      <c r="AB288" s="153"/>
      <c r="AC288" s="153"/>
      <c r="AD288" s="153"/>
      <c r="AE288" s="153"/>
      <c r="AF288" s="153"/>
      <c r="AG288" s="153"/>
      <c r="AH288" s="153"/>
      <c r="AI288" s="153"/>
      <c r="AJ288" s="153"/>
      <c r="AK288" s="153"/>
      <c r="AL288" s="153"/>
      <c r="AM288" s="153"/>
      <c r="AN288" s="153"/>
      <c r="AO288" s="153"/>
      <c r="AP288" s="153"/>
      <c r="AQ288" s="153"/>
      <c r="AR288" s="153"/>
      <c r="AS288" s="153"/>
      <c r="AT288" s="153"/>
      <c r="AU288" s="153"/>
      <c r="AV288" s="153"/>
      <c r="AW288" s="153"/>
      <c r="AX288" s="153"/>
      <c r="AY288" s="153"/>
    </row>
  </sheetData>
  <sheetProtection selectLockedCells="1"/>
  <protectedRanges>
    <protectedRange sqref="F59:I68 E59:E65 E67:E68 H90:L95 H110:L115 H130:L135 H150:L155 H170:L175" name="Kommentar"/>
  </protectedRanges>
  <dataConsolidate/>
  <mergeCells count="149">
    <mergeCell ref="J84:N84"/>
    <mergeCell ref="E58:I58"/>
    <mergeCell ref="B70:N71"/>
    <mergeCell ref="K64:N64"/>
    <mergeCell ref="E59:I68"/>
    <mergeCell ref="L65:N67"/>
    <mergeCell ref="L68:N68"/>
    <mergeCell ref="B54:C54"/>
    <mergeCell ref="E54:F54"/>
    <mergeCell ref="B55:C55"/>
    <mergeCell ref="G54:H54"/>
    <mergeCell ref="J54:K54"/>
    <mergeCell ref="G55:H55"/>
    <mergeCell ref="M56:N56"/>
    <mergeCell ref="J86:N86"/>
    <mergeCell ref="E29:E30"/>
    <mergeCell ref="M32:N32"/>
    <mergeCell ref="M33:N33"/>
    <mergeCell ref="J48:K48"/>
    <mergeCell ref="J47:K47"/>
    <mergeCell ref="D46:I46"/>
    <mergeCell ref="J46:N46"/>
    <mergeCell ref="F48:H48"/>
    <mergeCell ref="I44:J44"/>
    <mergeCell ref="I43:J43"/>
    <mergeCell ref="B51:N51"/>
    <mergeCell ref="B34:B35"/>
    <mergeCell ref="D47:E49"/>
    <mergeCell ref="F47:H47"/>
    <mergeCell ref="K32:L32"/>
    <mergeCell ref="K34:K35"/>
    <mergeCell ref="E34:E35"/>
    <mergeCell ref="L60:N62"/>
    <mergeCell ref="L63:N63"/>
    <mergeCell ref="B77:F79"/>
    <mergeCell ref="B81:N82"/>
    <mergeCell ref="F49:H49"/>
    <mergeCell ref="B29:B30"/>
    <mergeCell ref="C15:H15"/>
    <mergeCell ref="J15:N15"/>
    <mergeCell ref="J14:N14"/>
    <mergeCell ref="C17:H17"/>
    <mergeCell ref="T46:X49"/>
    <mergeCell ref="T51:X54"/>
    <mergeCell ref="C24:H24"/>
    <mergeCell ref="L24:M24"/>
    <mergeCell ref="J23:N23"/>
    <mergeCell ref="J19:N19"/>
    <mergeCell ref="J22:N22"/>
    <mergeCell ref="M54:N54"/>
    <mergeCell ref="G53:H53"/>
    <mergeCell ref="J52:N52"/>
    <mergeCell ref="I42:J42"/>
    <mergeCell ref="F29:H30"/>
    <mergeCell ref="C19:H19"/>
    <mergeCell ref="J20:N20"/>
    <mergeCell ref="C20:H20"/>
    <mergeCell ref="K33:L33"/>
    <mergeCell ref="I34:J35"/>
    <mergeCell ref="C23:H23"/>
    <mergeCell ref="J49:K49"/>
    <mergeCell ref="J25:K25"/>
    <mergeCell ref="G89:N89"/>
    <mergeCell ref="C87:H87"/>
    <mergeCell ref="B129:E146"/>
    <mergeCell ref="B149:E166"/>
    <mergeCell ref="G90:N106"/>
    <mergeCell ref="G170:N186"/>
    <mergeCell ref="G150:N166"/>
    <mergeCell ref="G169:N169"/>
    <mergeCell ref="K5:K6"/>
    <mergeCell ref="B6:E7"/>
    <mergeCell ref="F6:H7"/>
    <mergeCell ref="C13:H13"/>
    <mergeCell ref="J13:N13"/>
    <mergeCell ref="I10:N10"/>
    <mergeCell ref="C11:H11"/>
    <mergeCell ref="J11:N11"/>
    <mergeCell ref="C12:H12"/>
    <mergeCell ref="J12:N12"/>
    <mergeCell ref="B8:N9"/>
    <mergeCell ref="B10:H10"/>
    <mergeCell ref="L5:N7"/>
    <mergeCell ref="C14:H14"/>
    <mergeCell ref="C16:H16"/>
    <mergeCell ref="J16:N16"/>
    <mergeCell ref="J56:K56"/>
    <mergeCell ref="G52:H52"/>
    <mergeCell ref="B46:C46"/>
    <mergeCell ref="B32:B33"/>
    <mergeCell ref="C32:D32"/>
    <mergeCell ref="F34:H34"/>
    <mergeCell ref="C33:D33"/>
    <mergeCell ref="I52:I55"/>
    <mergeCell ref="J58:N58"/>
    <mergeCell ref="J55:K55"/>
    <mergeCell ref="D34:D35"/>
    <mergeCell ref="I45:J45"/>
    <mergeCell ref="E53:F53"/>
    <mergeCell ref="M53:N53"/>
    <mergeCell ref="E52:F52"/>
    <mergeCell ref="B27:B28"/>
    <mergeCell ref="C25:H25"/>
    <mergeCell ref="C26:H26"/>
    <mergeCell ref="L25:M25"/>
    <mergeCell ref="E27:E28"/>
    <mergeCell ref="C29:D30"/>
    <mergeCell ref="C22:H22"/>
    <mergeCell ref="B53:C53"/>
    <mergeCell ref="M55:N55"/>
    <mergeCell ref="J53:K53"/>
    <mergeCell ref="E55:F55"/>
    <mergeCell ref="K26:N26"/>
    <mergeCell ref="F27:H28"/>
    <mergeCell ref="J17:N17"/>
    <mergeCell ref="I40:J40"/>
    <mergeCell ref="I41:J41"/>
    <mergeCell ref="I39:J39"/>
    <mergeCell ref="I38:J38"/>
    <mergeCell ref="I37:J37"/>
    <mergeCell ref="I36:J36"/>
    <mergeCell ref="I27:I30"/>
    <mergeCell ref="C27:D28"/>
    <mergeCell ref="C18:H18"/>
    <mergeCell ref="J18:N18"/>
    <mergeCell ref="B200:C209"/>
    <mergeCell ref="K193:M194"/>
    <mergeCell ref="B197:C198"/>
    <mergeCell ref="K196:M205"/>
    <mergeCell ref="K65:K67"/>
    <mergeCell ref="J64:J68"/>
    <mergeCell ref="C85:H85"/>
    <mergeCell ref="J59:J63"/>
    <mergeCell ref="K60:K62"/>
    <mergeCell ref="G110:N126"/>
    <mergeCell ref="G129:N129"/>
    <mergeCell ref="G130:N146"/>
    <mergeCell ref="G149:N149"/>
    <mergeCell ref="D197:G198"/>
    <mergeCell ref="B109:E126"/>
    <mergeCell ref="J87:N87"/>
    <mergeCell ref="B89:E106"/>
    <mergeCell ref="G109:N109"/>
    <mergeCell ref="B169:E186"/>
    <mergeCell ref="C84:H84"/>
    <mergeCell ref="C86:E86"/>
    <mergeCell ref="D200:G209"/>
    <mergeCell ref="J85:N85"/>
    <mergeCell ref="K59:N59"/>
  </mergeCells>
  <phoneticPr fontId="5" type="noConversion"/>
  <dataValidations disablePrompts="1" count="6">
    <dataValidation type="list" allowBlank="1" showInputMessage="1" showErrorMessage="1" sqref="K5:K6">
      <formula1>$T$3:$T$8</formula1>
    </dataValidation>
    <dataValidation type="list" allowBlank="1" showInputMessage="1" showErrorMessage="1" sqref="N34">
      <formula1>$T$9:$T$16</formula1>
    </dataValidation>
    <dataValidation type="list" allowBlank="1" showInputMessage="1" showErrorMessage="1" sqref="C35 K24 L35">
      <formula1>$U$2:$U$4</formula1>
    </dataValidation>
    <dataValidation type="list" allowBlank="1" showInputMessage="1" showErrorMessage="1" sqref="E32:E33">
      <formula1>$V$2:$V$4</formula1>
    </dataValidation>
    <dataValidation type="list" allowBlank="1" showInputMessage="1" showErrorMessage="1" sqref="C27:D28">
      <formula1>$U$10:$U$14</formula1>
    </dataValidation>
    <dataValidation type="list" allowBlank="1" showInputMessage="1" showErrorMessage="1" sqref="B6:E7">
      <formula1>$Z$9:$Z$17</formula1>
    </dataValidation>
  </dataValidations>
  <printOptions horizontalCentered="1"/>
  <pageMargins left="0" right="0" top="0.15748031496062992" bottom="0.27559055118110237" header="3.937007874015748E-2" footer="7.874015748031496E-2"/>
  <pageSetup paperSize="9" scale="54" orientation="portrait" r:id="rId1"/>
  <headerFooter alignWithMargins="0">
    <oddFooter>&amp;L&amp;8CF-00169, Version: 1.0&amp;C&amp;8Creation/Ersteller: ESC/Andrea Grunwald
Date/Datum: 2016 - 11 - 24&amp;R&amp;8Page:/Seite: &amp;P/&amp;N</oddFooter>
  </headerFooter>
  <rowBreaks count="1" manualBreakCount="1">
    <brk id="75" max="13" man="1"/>
  </rowBreaks>
  <colBreaks count="1" manualBreakCount="1">
    <brk id="15" max="98" man="1"/>
  </colBreaks>
  <ignoredErrors>
    <ignoredError sqref="E54:E55 D46 B46 J46 C52 C84:N87 E29 B89:E187 D53:D55 G129 G109 G89 G149 G169 M25 M24 L25 L24" unlockedFormula="1"/>
    <ignoredError sqref="C58:C68 V35" formula="1"/>
    <ignoredError sqref="G54" formulaRange="1"/>
    <ignoredError sqref="U30:AB34 U36:AB36 U35 W35:AB35" evalError="1"/>
    <ignoredError sqref="U191:AB203" evalError="1" unlocked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7"/>
  <sheetViews>
    <sheetView topLeftCell="A69" zoomScaleNormal="100" workbookViewId="0">
      <selection activeCell="G74" sqref="G74"/>
    </sheetView>
  </sheetViews>
  <sheetFormatPr baseColWidth="10" defaultRowHeight="12.75" x14ac:dyDescent="0.2"/>
  <cols>
    <col min="1" max="1" width="5.28515625" bestFit="1" customWidth="1"/>
  </cols>
  <sheetData>
    <row r="1" spans="1:2" ht="27.75" x14ac:dyDescent="0.4">
      <c r="B1" s="166" t="s">
        <v>84</v>
      </c>
    </row>
    <row r="3" spans="1:2" s="173" customFormat="1" ht="15.75" x14ac:dyDescent="0.2">
      <c r="A3" s="177" t="s">
        <v>121</v>
      </c>
      <c r="B3" s="174" t="s">
        <v>111</v>
      </c>
    </row>
    <row r="4" spans="1:2" s="173" customFormat="1" ht="15.75" x14ac:dyDescent="0.2">
      <c r="A4" s="177" t="s">
        <v>121</v>
      </c>
      <c r="B4" s="174" t="s">
        <v>112</v>
      </c>
    </row>
    <row r="5" spans="1:2" s="173" customFormat="1" ht="15" x14ac:dyDescent="0.2"/>
    <row r="6" spans="1:2" s="173" customFormat="1" ht="15" x14ac:dyDescent="0.2"/>
    <row r="7" spans="1:2" s="173" customFormat="1" ht="15" x14ac:dyDescent="0.2"/>
    <row r="8" spans="1:2" s="173" customFormat="1" ht="15" x14ac:dyDescent="0.2"/>
    <row r="9" spans="1:2" s="173" customFormat="1" ht="15" x14ac:dyDescent="0.2"/>
    <row r="10" spans="1:2" s="173" customFormat="1" ht="15" x14ac:dyDescent="0.2"/>
    <row r="11" spans="1:2" s="173" customFormat="1" ht="15" x14ac:dyDescent="0.2"/>
    <row r="12" spans="1:2" s="173" customFormat="1" ht="15" x14ac:dyDescent="0.2"/>
    <row r="13" spans="1:2" s="173" customFormat="1" ht="15" x14ac:dyDescent="0.2"/>
    <row r="14" spans="1:2" s="173" customFormat="1" ht="15" x14ac:dyDescent="0.2"/>
    <row r="15" spans="1:2" s="173" customFormat="1" ht="15" x14ac:dyDescent="0.2"/>
    <row r="16" spans="1:2" s="173" customFormat="1" ht="15" x14ac:dyDescent="0.2"/>
    <row r="17" s="173" customFormat="1" ht="15" x14ac:dyDescent="0.2"/>
    <row r="18" s="173" customFormat="1" ht="15" x14ac:dyDescent="0.2"/>
    <row r="19" s="173" customFormat="1" ht="15" x14ac:dyDescent="0.2"/>
    <row r="20" s="173" customFormat="1" ht="15" x14ac:dyDescent="0.2"/>
    <row r="21" s="173" customFormat="1" ht="15" x14ac:dyDescent="0.2"/>
    <row r="22" s="173" customFormat="1" ht="15" x14ac:dyDescent="0.2"/>
    <row r="23" s="173" customFormat="1" ht="15" x14ac:dyDescent="0.2"/>
    <row r="24" s="173" customFormat="1" ht="15" x14ac:dyDescent="0.2"/>
    <row r="25" s="173" customFormat="1" ht="15" x14ac:dyDescent="0.2"/>
    <row r="26" s="173" customFormat="1" ht="15" x14ac:dyDescent="0.2"/>
    <row r="27" s="173" customFormat="1" ht="15" x14ac:dyDescent="0.2"/>
    <row r="28" s="173" customFormat="1" ht="15" x14ac:dyDescent="0.2"/>
    <row r="29" s="173" customFormat="1" ht="15" x14ac:dyDescent="0.2"/>
    <row r="30" s="173" customFormat="1" ht="15" x14ac:dyDescent="0.2"/>
    <row r="31" s="173" customFormat="1" ht="15" x14ac:dyDescent="0.2"/>
    <row r="32" s="173" customFormat="1" ht="15" x14ac:dyDescent="0.2"/>
    <row r="33" spans="1:3" s="173" customFormat="1" ht="15" x14ac:dyDescent="0.2"/>
    <row r="34" spans="1:3" s="173" customFormat="1" ht="15" x14ac:dyDescent="0.2"/>
    <row r="35" spans="1:3" s="173" customFormat="1" ht="15" x14ac:dyDescent="0.2"/>
    <row r="36" spans="1:3" s="173" customFormat="1" ht="15" x14ac:dyDescent="0.2"/>
    <row r="37" spans="1:3" s="173" customFormat="1" ht="15" x14ac:dyDescent="0.2"/>
    <row r="38" spans="1:3" s="173" customFormat="1" ht="15" x14ac:dyDescent="0.2"/>
    <row r="39" spans="1:3" s="173" customFormat="1" ht="15" x14ac:dyDescent="0.2"/>
    <row r="40" spans="1:3" s="173" customFormat="1" ht="15" x14ac:dyDescent="0.2"/>
    <row r="41" spans="1:3" s="173" customFormat="1" ht="15" x14ac:dyDescent="0.2"/>
    <row r="42" spans="1:3" s="173" customFormat="1" ht="15" x14ac:dyDescent="0.2"/>
    <row r="43" spans="1:3" s="173" customFormat="1" ht="15" x14ac:dyDescent="0.2"/>
    <row r="44" spans="1:3" s="173" customFormat="1" ht="15" x14ac:dyDescent="0.2">
      <c r="C44" s="206" t="s">
        <v>142</v>
      </c>
    </row>
    <row r="45" spans="1:3" s="173" customFormat="1" ht="15" x14ac:dyDescent="0.2"/>
    <row r="46" spans="1:3" s="173" customFormat="1" ht="15" x14ac:dyDescent="0.2"/>
    <row r="47" spans="1:3" s="173" customFormat="1" ht="15.75" x14ac:dyDescent="0.2">
      <c r="A47" s="177" t="s">
        <v>121</v>
      </c>
      <c r="B47" s="176" t="s">
        <v>113</v>
      </c>
    </row>
    <row r="48" spans="1:3" s="173" customFormat="1" ht="15" x14ac:dyDescent="0.2">
      <c r="A48" s="177"/>
    </row>
    <row r="49" spans="3:8" s="173" customFormat="1" ht="15" x14ac:dyDescent="0.2"/>
    <row r="50" spans="3:8" s="173" customFormat="1" ht="15" x14ac:dyDescent="0.2"/>
    <row r="51" spans="3:8" s="173" customFormat="1" ht="15.75" x14ac:dyDescent="0.2">
      <c r="C51" s="174" t="s">
        <v>85</v>
      </c>
      <c r="H51" s="174" t="s">
        <v>86</v>
      </c>
    </row>
    <row r="52" spans="3:8" s="173" customFormat="1" ht="15" x14ac:dyDescent="0.2"/>
    <row r="53" spans="3:8" s="173" customFormat="1" ht="15" x14ac:dyDescent="0.2"/>
    <row r="54" spans="3:8" s="173" customFormat="1" ht="15" x14ac:dyDescent="0.2"/>
    <row r="55" spans="3:8" s="173" customFormat="1" ht="15" x14ac:dyDescent="0.2"/>
    <row r="56" spans="3:8" s="173" customFormat="1" ht="15" x14ac:dyDescent="0.2"/>
    <row r="57" spans="3:8" s="173" customFormat="1" ht="15" x14ac:dyDescent="0.2"/>
    <row r="58" spans="3:8" s="173" customFormat="1" ht="15" x14ac:dyDescent="0.2"/>
    <row r="59" spans="3:8" s="173" customFormat="1" ht="15" x14ac:dyDescent="0.2"/>
    <row r="60" spans="3:8" s="173" customFormat="1" ht="15" x14ac:dyDescent="0.2"/>
    <row r="61" spans="3:8" s="173" customFormat="1" ht="15" x14ac:dyDescent="0.2"/>
    <row r="62" spans="3:8" s="173" customFormat="1" ht="15" x14ac:dyDescent="0.2"/>
    <row r="63" spans="3:8" s="173" customFormat="1" ht="15" x14ac:dyDescent="0.2"/>
    <row r="64" spans="3:8" s="173" customFormat="1" ht="15" x14ac:dyDescent="0.2"/>
    <row r="65" s="173" customFormat="1" ht="15" x14ac:dyDescent="0.2"/>
    <row r="66" s="173" customFormat="1" ht="15" x14ac:dyDescent="0.2"/>
    <row r="67" s="173" customFormat="1" ht="15" x14ac:dyDescent="0.2"/>
    <row r="68" s="173" customFormat="1" ht="15" x14ac:dyDescent="0.2"/>
    <row r="69" s="173" customFormat="1" ht="15" x14ac:dyDescent="0.2"/>
    <row r="70" s="173" customFormat="1" ht="15" x14ac:dyDescent="0.2"/>
    <row r="71" s="173" customFormat="1" ht="15" x14ac:dyDescent="0.2"/>
    <row r="72" s="173" customFormat="1" ht="15" x14ac:dyDescent="0.2"/>
    <row r="73" s="173" customFormat="1" ht="15" x14ac:dyDescent="0.2"/>
    <row r="74" s="173" customFormat="1" ht="15" x14ac:dyDescent="0.2"/>
    <row r="75" s="173" customFormat="1" ht="15" x14ac:dyDescent="0.2"/>
    <row r="76" s="173" customFormat="1" ht="15" x14ac:dyDescent="0.2"/>
    <row r="77" s="173" customFormat="1" ht="15" x14ac:dyDescent="0.2"/>
    <row r="78" s="173" customFormat="1" ht="15" x14ac:dyDescent="0.2"/>
    <row r="79" s="173" customFormat="1" ht="15" x14ac:dyDescent="0.2"/>
    <row r="80" s="173" customFormat="1" ht="15" x14ac:dyDescent="0.2"/>
    <row r="81" spans="2:2" s="173" customFormat="1" ht="15.75" x14ac:dyDescent="0.2">
      <c r="B81" s="175" t="s">
        <v>87</v>
      </c>
    </row>
    <row r="82" spans="2:2" s="173" customFormat="1" ht="15" x14ac:dyDescent="0.2"/>
    <row r="83" spans="2:2" s="173" customFormat="1" ht="15" x14ac:dyDescent="0.2"/>
    <row r="84" spans="2:2" s="173" customFormat="1" ht="15" x14ac:dyDescent="0.2"/>
    <row r="85" spans="2:2" s="173" customFormat="1" ht="15" x14ac:dyDescent="0.2"/>
    <row r="86" spans="2:2" s="173" customFormat="1" ht="15" x14ac:dyDescent="0.2"/>
    <row r="87" spans="2:2" s="173" customFormat="1" ht="15" x14ac:dyDescent="0.2"/>
    <row r="88" spans="2:2" s="173" customFormat="1" ht="15" x14ac:dyDescent="0.2"/>
    <row r="89" spans="2:2" s="173" customFormat="1" ht="15" x14ac:dyDescent="0.2"/>
    <row r="90" spans="2:2" s="173" customFormat="1" ht="15" x14ac:dyDescent="0.2"/>
    <row r="91" spans="2:2" s="173" customFormat="1" ht="15" x14ac:dyDescent="0.2"/>
    <row r="92" spans="2:2" s="173" customFormat="1" ht="15" x14ac:dyDescent="0.2"/>
    <row r="93" spans="2:2" s="173" customFormat="1" ht="15" x14ac:dyDescent="0.2"/>
    <row r="94" spans="2:2" s="173" customFormat="1" ht="15" x14ac:dyDescent="0.2"/>
    <row r="95" spans="2:2" s="173" customFormat="1" ht="15" x14ac:dyDescent="0.2"/>
    <row r="96" spans="2:2" s="173" customFormat="1" ht="15" x14ac:dyDescent="0.2"/>
    <row r="97" spans="1:2" s="173" customFormat="1" ht="15" x14ac:dyDescent="0.2"/>
    <row r="98" spans="1:2" s="173" customFormat="1" ht="15" x14ac:dyDescent="0.2"/>
    <row r="99" spans="1:2" s="173" customFormat="1" ht="15" x14ac:dyDescent="0.2"/>
    <row r="100" spans="1:2" s="173" customFormat="1" ht="15.75" x14ac:dyDescent="0.2">
      <c r="A100" s="177" t="s">
        <v>121</v>
      </c>
      <c r="B100" s="174" t="s">
        <v>114</v>
      </c>
    </row>
    <row r="101" spans="1:2" s="173" customFormat="1" ht="15.75" x14ac:dyDescent="0.2">
      <c r="A101" s="177" t="s">
        <v>121</v>
      </c>
      <c r="B101" s="174" t="s">
        <v>115</v>
      </c>
    </row>
    <row r="102" spans="1:2" s="173" customFormat="1" ht="15.75" x14ac:dyDescent="0.2">
      <c r="A102" s="177" t="s">
        <v>121</v>
      </c>
      <c r="B102" s="174" t="s">
        <v>116</v>
      </c>
    </row>
    <row r="103" spans="1:2" s="173" customFormat="1" ht="15" x14ac:dyDescent="0.2">
      <c r="A103" s="177"/>
    </row>
    <row r="104" spans="1:2" s="173" customFormat="1" ht="15" x14ac:dyDescent="0.2">
      <c r="A104" s="177"/>
    </row>
    <row r="105" spans="1:2" s="173" customFormat="1" ht="15" x14ac:dyDescent="0.2">
      <c r="A105" s="177"/>
    </row>
    <row r="106" spans="1:2" s="173" customFormat="1" ht="15" x14ac:dyDescent="0.2">
      <c r="A106" s="177"/>
    </row>
    <row r="107" spans="1:2" s="173" customFormat="1" ht="15" x14ac:dyDescent="0.2">
      <c r="A107" s="177"/>
    </row>
    <row r="108" spans="1:2" s="173" customFormat="1" ht="15" x14ac:dyDescent="0.2">
      <c r="A108" s="177"/>
    </row>
    <row r="109" spans="1:2" s="173" customFormat="1" ht="15" x14ac:dyDescent="0.2">
      <c r="A109" s="177"/>
    </row>
    <row r="110" spans="1:2" s="173" customFormat="1" ht="15" x14ac:dyDescent="0.2">
      <c r="A110" s="177"/>
    </row>
    <row r="111" spans="1:2" s="173" customFormat="1" ht="15" x14ac:dyDescent="0.2">
      <c r="A111" s="177"/>
    </row>
    <row r="112" spans="1:2" s="173" customFormat="1" ht="15" x14ac:dyDescent="0.2">
      <c r="A112" s="177"/>
    </row>
    <row r="113" spans="1:2" s="173" customFormat="1" ht="15" x14ac:dyDescent="0.2">
      <c r="A113" s="177"/>
    </row>
    <row r="114" spans="1:2" s="173" customFormat="1" ht="15" x14ac:dyDescent="0.2">
      <c r="A114" s="177"/>
    </row>
    <row r="115" spans="1:2" s="173" customFormat="1" ht="15" x14ac:dyDescent="0.2">
      <c r="A115" s="177"/>
    </row>
    <row r="116" spans="1:2" s="173" customFormat="1" ht="15" x14ac:dyDescent="0.2">
      <c r="A116" s="177"/>
    </row>
    <row r="117" spans="1:2" s="173" customFormat="1" ht="15" x14ac:dyDescent="0.2">
      <c r="A117" s="177"/>
    </row>
    <row r="118" spans="1:2" s="173" customFormat="1" ht="15.75" x14ac:dyDescent="0.2">
      <c r="A118" s="177" t="s">
        <v>143</v>
      </c>
      <c r="B118" s="174" t="s">
        <v>88</v>
      </c>
    </row>
    <row r="119" spans="1:2" s="173" customFormat="1" ht="15.75" x14ac:dyDescent="0.2">
      <c r="A119" s="177" t="s">
        <v>144</v>
      </c>
      <c r="B119" s="174" t="s">
        <v>90</v>
      </c>
    </row>
    <row r="120" spans="1:2" s="173" customFormat="1" ht="15.75" x14ac:dyDescent="0.2">
      <c r="A120" s="177" t="s">
        <v>145</v>
      </c>
      <c r="B120" s="174" t="s">
        <v>89</v>
      </c>
    </row>
    <row r="121" spans="1:2" s="173" customFormat="1" ht="15.75" x14ac:dyDescent="0.2">
      <c r="A121" s="177" t="s">
        <v>146</v>
      </c>
      <c r="B121" s="174" t="s">
        <v>91</v>
      </c>
    </row>
    <row r="122" spans="1:2" s="173" customFormat="1" ht="15.75" x14ac:dyDescent="0.2">
      <c r="A122" s="177" t="s">
        <v>147</v>
      </c>
      <c r="B122" s="174" t="s">
        <v>92</v>
      </c>
    </row>
    <row r="123" spans="1:2" s="173" customFormat="1" ht="15.75" x14ac:dyDescent="0.2">
      <c r="A123" s="177" t="s">
        <v>148</v>
      </c>
      <c r="B123" s="174" t="s">
        <v>93</v>
      </c>
    </row>
    <row r="124" spans="1:2" s="173" customFormat="1" ht="15.75" x14ac:dyDescent="0.2">
      <c r="A124" s="177" t="s">
        <v>149</v>
      </c>
      <c r="B124" s="174" t="s">
        <v>94</v>
      </c>
    </row>
    <row r="125" spans="1:2" s="173" customFormat="1" ht="15.75" x14ac:dyDescent="0.2">
      <c r="A125" s="177" t="s">
        <v>150</v>
      </c>
      <c r="B125" s="174" t="s">
        <v>95</v>
      </c>
    </row>
    <row r="126" spans="1:2" s="173" customFormat="1" ht="15.75" x14ac:dyDescent="0.2">
      <c r="A126" s="177" t="s">
        <v>151</v>
      </c>
      <c r="B126" s="174" t="s">
        <v>96</v>
      </c>
    </row>
    <row r="127" spans="1:2" s="173" customFormat="1" ht="15.75" x14ac:dyDescent="0.2">
      <c r="A127" s="177" t="s">
        <v>152</v>
      </c>
      <c r="B127" s="174" t="s">
        <v>97</v>
      </c>
    </row>
    <row r="128" spans="1:2" s="173" customFormat="1" ht="15.75" x14ac:dyDescent="0.2">
      <c r="A128" s="177" t="s">
        <v>153</v>
      </c>
      <c r="B128" s="174" t="s">
        <v>98</v>
      </c>
    </row>
    <row r="129" spans="1:2" s="173" customFormat="1" ht="15" x14ac:dyDescent="0.2">
      <c r="A129" s="177"/>
    </row>
    <row r="130" spans="1:2" s="173" customFormat="1" ht="15" x14ac:dyDescent="0.2">
      <c r="A130" s="177"/>
    </row>
    <row r="131" spans="1:2" s="173" customFormat="1" ht="15" x14ac:dyDescent="0.2">
      <c r="A131" s="177"/>
    </row>
    <row r="132" spans="1:2" s="173" customFormat="1" ht="15" x14ac:dyDescent="0.2">
      <c r="A132" s="177"/>
    </row>
    <row r="133" spans="1:2" s="173" customFormat="1" ht="15" x14ac:dyDescent="0.2">
      <c r="A133" s="177"/>
    </row>
    <row r="134" spans="1:2" s="173" customFormat="1" ht="15" x14ac:dyDescent="0.2">
      <c r="A134" s="177"/>
    </row>
    <row r="135" spans="1:2" s="173" customFormat="1" ht="15" x14ac:dyDescent="0.2">
      <c r="A135" s="177"/>
    </row>
    <row r="136" spans="1:2" s="173" customFormat="1" ht="15" x14ac:dyDescent="0.2">
      <c r="A136" s="177"/>
    </row>
    <row r="137" spans="1:2" s="173" customFormat="1" ht="15" x14ac:dyDescent="0.2">
      <c r="A137" s="177"/>
    </row>
    <row r="138" spans="1:2" s="173" customFormat="1" ht="15" x14ac:dyDescent="0.2">
      <c r="A138" s="177"/>
    </row>
    <row r="139" spans="1:2" s="173" customFormat="1" ht="15" x14ac:dyDescent="0.2">
      <c r="A139" s="177"/>
    </row>
    <row r="140" spans="1:2" s="173" customFormat="1" ht="15" x14ac:dyDescent="0.2">
      <c r="A140" s="177"/>
    </row>
    <row r="141" spans="1:2" s="173" customFormat="1" ht="15.75" x14ac:dyDescent="0.2">
      <c r="A141" s="177" t="s">
        <v>154</v>
      </c>
      <c r="B141" s="174" t="s">
        <v>99</v>
      </c>
    </row>
    <row r="142" spans="1:2" s="173" customFormat="1" ht="15.75" x14ac:dyDescent="0.2">
      <c r="A142" s="177" t="s">
        <v>155</v>
      </c>
      <c r="B142" s="174" t="s">
        <v>100</v>
      </c>
    </row>
    <row r="143" spans="1:2" s="173" customFormat="1" ht="15.75" x14ac:dyDescent="0.2">
      <c r="A143" s="177" t="s">
        <v>156</v>
      </c>
      <c r="B143" s="174" t="s">
        <v>101</v>
      </c>
    </row>
    <row r="144" spans="1:2" s="173" customFormat="1" ht="15.75" x14ac:dyDescent="0.2">
      <c r="A144" s="177" t="s">
        <v>157</v>
      </c>
      <c r="B144" s="174" t="s">
        <v>102</v>
      </c>
    </row>
    <row r="145" spans="1:2" s="173" customFormat="1" ht="15.75" x14ac:dyDescent="0.2">
      <c r="A145" s="177" t="s">
        <v>158</v>
      </c>
      <c r="B145" s="174" t="s">
        <v>103</v>
      </c>
    </row>
    <row r="146" spans="1:2" s="173" customFormat="1" ht="15.75" x14ac:dyDescent="0.2">
      <c r="A146" s="177" t="s">
        <v>159</v>
      </c>
      <c r="B146" s="174" t="s">
        <v>104</v>
      </c>
    </row>
    <row r="147" spans="1:2" s="173" customFormat="1" ht="15.75" x14ac:dyDescent="0.2">
      <c r="A147" s="177" t="s">
        <v>160</v>
      </c>
      <c r="B147" s="174" t="s">
        <v>105</v>
      </c>
    </row>
    <row r="148" spans="1:2" s="173" customFormat="1" ht="15.75" x14ac:dyDescent="0.2">
      <c r="A148" s="177" t="s">
        <v>161</v>
      </c>
      <c r="B148" s="174" t="s">
        <v>106</v>
      </c>
    </row>
    <row r="149" spans="1:2" s="173" customFormat="1" ht="15.75" x14ac:dyDescent="0.2">
      <c r="A149" s="177" t="s">
        <v>162</v>
      </c>
      <c r="B149" s="174" t="s">
        <v>107</v>
      </c>
    </row>
    <row r="150" spans="1:2" s="173" customFormat="1" ht="15.75" x14ac:dyDescent="0.2">
      <c r="A150" s="177" t="s">
        <v>163</v>
      </c>
      <c r="B150" s="174" t="s">
        <v>108</v>
      </c>
    </row>
    <row r="151" spans="1:2" s="173" customFormat="1" ht="15.75" x14ac:dyDescent="0.2">
      <c r="A151" s="177" t="s">
        <v>164</v>
      </c>
      <c r="B151" s="174" t="s">
        <v>109</v>
      </c>
    </row>
    <row r="152" spans="1:2" s="173" customFormat="1" ht="15.75" x14ac:dyDescent="0.2">
      <c r="A152" s="173" t="s">
        <v>165</v>
      </c>
      <c r="B152" s="174" t="s">
        <v>110</v>
      </c>
    </row>
    <row r="153" spans="1:2" s="173" customFormat="1" ht="15" x14ac:dyDescent="0.2"/>
    <row r="154" spans="1:2" s="173" customFormat="1" ht="15" x14ac:dyDescent="0.2"/>
    <row r="155" spans="1:2" s="173" customFormat="1" ht="15" x14ac:dyDescent="0.2"/>
    <row r="156" spans="1:2" s="173" customFormat="1" ht="15" x14ac:dyDescent="0.2"/>
    <row r="157" spans="1:2" s="173" customFormat="1" ht="15" x14ac:dyDescent="0.2"/>
    <row r="158" spans="1:2" s="173" customFormat="1" ht="15" x14ac:dyDescent="0.2"/>
    <row r="159" spans="1:2" s="173" customFormat="1" ht="15" x14ac:dyDescent="0.2"/>
    <row r="160" spans="1:2" s="173" customFormat="1" ht="15" x14ac:dyDescent="0.2"/>
    <row r="161" spans="1:2" s="173" customFormat="1" ht="15" x14ac:dyDescent="0.2"/>
    <row r="162" spans="1:2" s="173" customFormat="1" ht="15.75" x14ac:dyDescent="0.2">
      <c r="A162" s="177" t="s">
        <v>121</v>
      </c>
      <c r="B162" s="174" t="s">
        <v>117</v>
      </c>
    </row>
    <row r="163" spans="1:2" s="173" customFormat="1" ht="15" x14ac:dyDescent="0.2"/>
    <row r="164" spans="1:2" s="173" customFormat="1" ht="15" x14ac:dyDescent="0.2"/>
    <row r="165" spans="1:2" s="173" customFormat="1" ht="15" x14ac:dyDescent="0.2"/>
    <row r="166" spans="1:2" s="173" customFormat="1" ht="15" x14ac:dyDescent="0.2"/>
    <row r="167" spans="1:2" s="173" customFormat="1" ht="15" x14ac:dyDescent="0.2"/>
    <row r="168" spans="1:2" s="173" customFormat="1" ht="15" x14ac:dyDescent="0.2"/>
    <row r="169" spans="1:2" s="173" customFormat="1" ht="15" x14ac:dyDescent="0.2"/>
    <row r="170" spans="1:2" s="173" customFormat="1" ht="15.75" x14ac:dyDescent="0.2">
      <c r="B170" s="174"/>
    </row>
    <row r="171" spans="1:2" s="173" customFormat="1" ht="15.75" x14ac:dyDescent="0.2">
      <c r="A171" s="177" t="s">
        <v>121</v>
      </c>
      <c r="B171" s="174" t="s">
        <v>118</v>
      </c>
    </row>
    <row r="172" spans="1:2" s="173" customFormat="1" ht="15" x14ac:dyDescent="0.2"/>
    <row r="173" spans="1:2" s="173" customFormat="1" ht="15" x14ac:dyDescent="0.2"/>
    <row r="174" spans="1:2" s="173" customFormat="1" ht="15" x14ac:dyDescent="0.2"/>
    <row r="175" spans="1:2" s="173" customFormat="1" ht="15" x14ac:dyDescent="0.2"/>
    <row r="176" spans="1:2" s="173" customFormat="1" ht="15" x14ac:dyDescent="0.2"/>
    <row r="177" spans="1:2" s="173" customFormat="1" ht="15" x14ac:dyDescent="0.2"/>
    <row r="178" spans="1:2" s="173" customFormat="1" ht="15" x14ac:dyDescent="0.2"/>
    <row r="179" spans="1:2" s="173" customFormat="1" ht="15" x14ac:dyDescent="0.2"/>
    <row r="180" spans="1:2" s="173" customFormat="1" ht="15" x14ac:dyDescent="0.2"/>
    <row r="181" spans="1:2" s="173" customFormat="1" ht="15" x14ac:dyDescent="0.2"/>
    <row r="182" spans="1:2" s="173" customFormat="1" ht="15" x14ac:dyDescent="0.2"/>
    <row r="183" spans="1:2" s="173" customFormat="1" ht="15" x14ac:dyDescent="0.2"/>
    <row r="184" spans="1:2" s="173" customFormat="1" ht="15" x14ac:dyDescent="0.2"/>
    <row r="185" spans="1:2" s="173" customFormat="1" ht="15.75" x14ac:dyDescent="0.2">
      <c r="A185" s="177" t="s">
        <v>121</v>
      </c>
      <c r="B185" s="174" t="s">
        <v>119</v>
      </c>
    </row>
    <row r="186" spans="1:2" s="173" customFormat="1" ht="15.75" x14ac:dyDescent="0.2">
      <c r="A186" s="177" t="s">
        <v>121</v>
      </c>
      <c r="B186" s="174" t="s">
        <v>120</v>
      </c>
    </row>
    <row r="187" spans="1:2" ht="15.75" x14ac:dyDescent="0.2">
      <c r="B187" s="174"/>
    </row>
  </sheetData>
  <pageMargins left="0.7" right="0.7" top="0.78740157499999996" bottom="0.78740157499999996" header="0.3" footer="0.3"/>
  <pageSetup paperSize="9" scale="44" orientation="portrait" verticalDpi="0" r:id="rId1"/>
  <headerFooter>
    <oddFooter>&amp;L&amp;8CF-00169, Version: 1.0&amp;C&amp;8Creation/Ersteller: ESC/Andrea Grunwald
Date/Datum: 2016 - 11 - 24&amp;R&amp;8Page:/Seite: &amp;P/&amp;N</oddFooter>
  </headerFooter>
  <ignoredErrors>
    <ignoredError sqref="A118:A120 A121:A128 A141:A152"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H288"/>
  <sheetViews>
    <sheetView view="pageLayout" zoomScaleNormal="85" zoomScaleSheetLayoutView="75" workbookViewId="0">
      <selection activeCell="D37" sqref="D37"/>
    </sheetView>
  </sheetViews>
  <sheetFormatPr baseColWidth="10" defaultRowHeight="12.75" x14ac:dyDescent="0.2"/>
  <cols>
    <col min="1" max="1" width="1.28515625" style="8" customWidth="1"/>
    <col min="2" max="2" width="29.5703125" style="8" customWidth="1"/>
    <col min="3" max="3" width="10.5703125" style="8" customWidth="1"/>
    <col min="4" max="4" width="12.28515625" style="8" customWidth="1"/>
    <col min="5" max="5" width="14" style="8" customWidth="1"/>
    <col min="6" max="6" width="7.85546875" style="8" customWidth="1"/>
    <col min="7" max="8" width="7.7109375" style="8" customWidth="1"/>
    <col min="9" max="9" width="24.140625" style="8" customWidth="1"/>
    <col min="10" max="10" width="14.140625" style="8" customWidth="1"/>
    <col min="11" max="11" width="15.85546875" style="8" customWidth="1"/>
    <col min="12" max="12" width="13.140625" style="8" customWidth="1"/>
    <col min="13" max="13" width="11.42578125" style="8"/>
    <col min="14" max="14" width="12.28515625" style="8" customWidth="1"/>
    <col min="15" max="15" width="7.28515625" style="8" customWidth="1"/>
    <col min="16" max="16" width="11.85546875" style="8" customWidth="1"/>
    <col min="17" max="17" width="17.7109375" style="8" customWidth="1"/>
    <col min="18" max="19" width="11.85546875" style="8" customWidth="1"/>
    <col min="20" max="20" width="11.85546875" style="8" hidden="1" customWidth="1"/>
    <col min="21" max="21" width="13.7109375" style="8" hidden="1" customWidth="1"/>
    <col min="22" max="28" width="11.85546875" style="8" hidden="1" customWidth="1"/>
    <col min="29" max="29" width="5.7109375" style="8" hidden="1" customWidth="1"/>
    <col min="30" max="30" width="11.85546875" style="8" hidden="1" customWidth="1"/>
    <col min="31" max="31" width="5.7109375" style="8" hidden="1" customWidth="1"/>
    <col min="32" max="32" width="7.85546875" style="8" hidden="1" customWidth="1"/>
    <col min="33" max="38" width="11.42578125" style="8" hidden="1" customWidth="1"/>
    <col min="39" max="39" width="15" style="8" hidden="1" customWidth="1"/>
    <col min="40" max="47" width="11.42578125" style="8" hidden="1" customWidth="1"/>
    <col min="48" max="48" width="11.42578125" style="8" customWidth="1"/>
    <col min="49" max="59" width="11.42578125" style="8"/>
    <col min="60" max="60" width="18.5703125" style="8" hidden="1" customWidth="1"/>
    <col min="61" max="63" width="0" style="8" hidden="1" customWidth="1"/>
    <col min="64" max="16384" width="11.42578125" style="8"/>
  </cols>
  <sheetData>
    <row r="1" spans="2:51" ht="13.5" thickBot="1" x14ac:dyDescent="0.25">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row>
    <row r="2" spans="2:51" ht="13.5" thickBot="1" x14ac:dyDescent="0.25">
      <c r="J2" s="143"/>
      <c r="K2" s="52" t="str">
        <f>IF($K$5="Deutsch","muss ausgefüllt werden",IF($K$5="English","needs to be filled out",IF($K$5="Français","champ à renseigner",IF($K$5="Portugues","Preencher",IF($K$5="中文","蓝色框需要填写",IF($K$5="हिन्दी","पूरा होना चाहिए"))))))</f>
        <v>needs to be filled out</v>
      </c>
      <c r="O2" s="153"/>
      <c r="P2" s="153"/>
      <c r="Q2" s="153"/>
      <c r="R2" s="153"/>
      <c r="S2" s="153"/>
      <c r="T2" s="160"/>
      <c r="U2" s="153"/>
      <c r="V2" s="153"/>
      <c r="W2" s="161"/>
      <c r="X2" s="161"/>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row>
    <row r="3" spans="2:51" ht="16.5" thickBot="1" x14ac:dyDescent="0.3">
      <c r="B3" s="51" t="s">
        <v>46</v>
      </c>
      <c r="J3" s="48"/>
      <c r="K3" s="52" t="str">
        <f>IF($K$5="Deutsch","muss ausgewählt werden",IF($K$5="English","needs to be selected",IF($K$5="Français","champ à sélectionner",IF($K$5="Portugues","Selecionar",IF($K$5="中文","白色框需要选择",IF($K$5="हिन्दी","चयनित होना चाहिए"))))))</f>
        <v>needs to be selected</v>
      </c>
      <c r="O3" s="153"/>
      <c r="P3" s="153"/>
      <c r="Q3" s="153"/>
      <c r="R3" s="153"/>
      <c r="S3" s="153"/>
      <c r="T3" s="160" t="s">
        <v>29</v>
      </c>
      <c r="U3" s="153" t="s">
        <v>31</v>
      </c>
      <c r="V3" s="153" t="s">
        <v>33</v>
      </c>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row>
    <row r="4" spans="2:51" ht="13.5" thickBot="1" x14ac:dyDescent="0.25">
      <c r="O4" s="153"/>
      <c r="P4" s="153"/>
      <c r="Q4" s="153"/>
      <c r="R4" s="153"/>
      <c r="S4" s="153"/>
      <c r="T4" s="160" t="s">
        <v>30</v>
      </c>
      <c r="U4" s="153" t="s">
        <v>32</v>
      </c>
      <c r="V4" s="153" t="s">
        <v>34</v>
      </c>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row>
    <row r="5" spans="2:51" ht="13.5" customHeight="1" thickBot="1" x14ac:dyDescent="0.25">
      <c r="K5" s="526" t="s">
        <v>30</v>
      </c>
      <c r="L5" s="355" t="s">
        <v>50</v>
      </c>
      <c r="M5" s="356"/>
      <c r="N5" s="356"/>
      <c r="O5" s="153"/>
      <c r="P5" s="153"/>
      <c r="Q5" s="153"/>
      <c r="R5" s="153"/>
      <c r="S5" s="153"/>
      <c r="T5" s="160" t="s">
        <v>42</v>
      </c>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row>
    <row r="6" spans="2:51" ht="13.5" customHeight="1" thickBot="1" x14ac:dyDescent="0.25">
      <c r="B6" s="528" t="s">
        <v>6</v>
      </c>
      <c r="C6" s="529"/>
      <c r="D6" s="529"/>
      <c r="E6" s="530"/>
      <c r="F6" s="334" t="str">
        <f>IF($K$5="Deutsch","Bitte wählen Sie den Produktionsstandort aus",IF($K$5="English","Please select the production site",IF($K$5="Français","Veuillez sélectionner le site de production",IF($K$5="Portugues","Por favor, selecione a ärea de produção",IF($K$5="中文","请选择生产厂",IF($K$5="हिन्दी","उत्पादन स्थल से चुनें"))))))</f>
        <v>Please select the production site</v>
      </c>
      <c r="G6" s="335"/>
      <c r="H6" s="336"/>
      <c r="I6" s="50"/>
      <c r="J6" s="50"/>
      <c r="K6" s="527"/>
      <c r="L6" s="356"/>
      <c r="M6" s="356"/>
      <c r="N6" s="356"/>
      <c r="O6" s="153"/>
      <c r="P6" s="153"/>
      <c r="Q6" s="153"/>
      <c r="R6" s="153"/>
      <c r="S6" s="153"/>
      <c r="T6" s="153" t="s">
        <v>44</v>
      </c>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row>
    <row r="7" spans="2:51" ht="24.75" customHeight="1" thickBot="1" x14ac:dyDescent="0.25">
      <c r="B7" s="531"/>
      <c r="C7" s="532"/>
      <c r="D7" s="532"/>
      <c r="E7" s="533"/>
      <c r="F7" s="336"/>
      <c r="G7" s="336"/>
      <c r="H7" s="336"/>
      <c r="I7" s="50"/>
      <c r="J7" s="50"/>
      <c r="L7" s="357"/>
      <c r="M7" s="357"/>
      <c r="N7" s="357"/>
      <c r="O7" s="153"/>
      <c r="P7" s="153"/>
      <c r="Q7" s="153"/>
      <c r="R7" s="153"/>
      <c r="S7" s="153"/>
      <c r="T7" s="160" t="s">
        <v>43</v>
      </c>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row>
    <row r="8" spans="2:51" ht="26.25" customHeight="1" x14ac:dyDescent="0.2">
      <c r="B8" s="346" t="str">
        <f>IF($K$5="Deutsch","Verpackungsdatenblatt (VDB)",IF($K$5="English","Packaging Data Sheet (PDS)",IF($K$5="Français","Fiche de données d'emballage (FDD)",IF($K$5="Portugues","Folha de Instrução de Embalagem (FIE)",IF($K$5="中文","包装数据表",IF($K$5="हिन्दी","पैकेजिंग डाटा शीट"))))))</f>
        <v>Packaging Data Sheet (PDS)</v>
      </c>
      <c r="C8" s="347"/>
      <c r="D8" s="347"/>
      <c r="E8" s="347"/>
      <c r="F8" s="347"/>
      <c r="G8" s="347"/>
      <c r="H8" s="347"/>
      <c r="I8" s="347"/>
      <c r="J8" s="347"/>
      <c r="K8" s="347"/>
      <c r="L8" s="347"/>
      <c r="M8" s="347"/>
      <c r="N8" s="348"/>
      <c r="O8" s="153"/>
      <c r="P8" s="153"/>
      <c r="Q8" s="153"/>
      <c r="R8" s="153"/>
      <c r="S8" s="153"/>
      <c r="T8" s="162" t="s">
        <v>51</v>
      </c>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row>
    <row r="9" spans="2:51" s="10" customFormat="1" ht="12" customHeight="1" thickBot="1" x14ac:dyDescent="0.25">
      <c r="B9" s="349"/>
      <c r="C9" s="350"/>
      <c r="D9" s="350"/>
      <c r="E9" s="350"/>
      <c r="F9" s="350"/>
      <c r="G9" s="350"/>
      <c r="H9" s="350"/>
      <c r="I9" s="350"/>
      <c r="J9" s="350"/>
      <c r="K9" s="350"/>
      <c r="L9" s="350"/>
      <c r="M9" s="350"/>
      <c r="N9" s="351"/>
      <c r="O9" s="153"/>
      <c r="P9" s="152"/>
      <c r="Q9" s="152"/>
      <c r="R9" s="152"/>
      <c r="S9" s="152"/>
      <c r="T9" s="152"/>
      <c r="U9" s="153"/>
      <c r="V9" s="152"/>
      <c r="W9" s="152"/>
      <c r="X9" s="153"/>
      <c r="Y9" s="153"/>
      <c r="Z9" s="153"/>
      <c r="AA9" s="153"/>
      <c r="AB9" s="153"/>
      <c r="AC9" s="153"/>
      <c r="AD9" s="153"/>
      <c r="AE9" s="153"/>
      <c r="AF9" s="153"/>
      <c r="AG9" s="153"/>
      <c r="AH9" s="153"/>
      <c r="AI9" s="152"/>
      <c r="AJ9" s="152"/>
      <c r="AK9" s="152"/>
      <c r="AL9" s="152"/>
      <c r="AM9" s="152"/>
      <c r="AN9" s="152"/>
      <c r="AO9" s="152"/>
      <c r="AP9" s="152"/>
      <c r="AQ9" s="152"/>
      <c r="AR9" s="152"/>
      <c r="AS9" s="152"/>
      <c r="AT9" s="152"/>
      <c r="AU9" s="152"/>
      <c r="AV9" s="152"/>
      <c r="AW9" s="152"/>
      <c r="AX9" s="152"/>
      <c r="AY9" s="152"/>
    </row>
    <row r="10" spans="2:51" ht="27" customHeight="1" thickBot="1" x14ac:dyDescent="0.3">
      <c r="B10" s="352" t="str">
        <f>IF($K$5="Deutsch","Lieferant/Kunde",IF($K$5="English","Supplier/Customer",IF($K$5="Français","Client/Client",IF($K$5="Portugues","Fornecedor/Cliente",IF($K$5="中文","供应商/客户",IF($K$5="हिन्दी","प्रदायक/ग्राहक"))))))</f>
        <v>Supplier/Customer</v>
      </c>
      <c r="C10" s="353"/>
      <c r="D10" s="353"/>
      <c r="E10" s="353"/>
      <c r="F10" s="353"/>
      <c r="G10" s="353"/>
      <c r="H10" s="354"/>
      <c r="I10" s="339" t="s">
        <v>46</v>
      </c>
      <c r="J10" s="339"/>
      <c r="K10" s="339"/>
      <c r="L10" s="339"/>
      <c r="M10" s="339"/>
      <c r="N10" s="340"/>
      <c r="O10" s="152"/>
      <c r="P10" s="153"/>
      <c r="Q10" s="153"/>
      <c r="R10" s="153"/>
      <c r="S10" s="153"/>
      <c r="T10" s="152" t="s">
        <v>0</v>
      </c>
      <c r="U10" s="155"/>
      <c r="V10" s="152"/>
      <c r="W10" s="152"/>
      <c r="X10" s="152"/>
      <c r="Y10" s="152"/>
      <c r="Z10" s="157" t="s">
        <v>6</v>
      </c>
      <c r="AA10" s="158">
        <v>240</v>
      </c>
      <c r="AB10" s="159">
        <v>0.03</v>
      </c>
      <c r="AC10" s="158">
        <v>20</v>
      </c>
      <c r="AD10" s="152"/>
      <c r="AE10" s="152"/>
      <c r="AF10" s="152"/>
      <c r="AG10" s="152"/>
      <c r="AH10" s="153"/>
      <c r="AI10" s="153"/>
      <c r="AJ10" s="153"/>
      <c r="AK10" s="153"/>
      <c r="AL10" s="153"/>
      <c r="AM10" s="153"/>
      <c r="AN10" s="153"/>
      <c r="AO10" s="153"/>
      <c r="AP10" s="153"/>
      <c r="AQ10" s="153"/>
      <c r="AR10" s="153"/>
      <c r="AS10" s="153"/>
      <c r="AT10" s="153"/>
      <c r="AU10" s="153"/>
      <c r="AV10" s="153"/>
      <c r="AW10" s="153"/>
      <c r="AX10" s="153"/>
      <c r="AY10" s="153"/>
    </row>
    <row r="11" spans="2:51" ht="15" customHeight="1" x14ac:dyDescent="0.25">
      <c r="B11" s="3" t="str">
        <f>IF($K$5="Deutsch","Firma:",IF($K$5="English","Company:",IF($K$5="Français","Société:",IF($K$5="Portugues","Firma:",IF($K$5="中文","供应商：",IF($K$5="हिन्दी","कम्पनी:"))))))</f>
        <v>Company:</v>
      </c>
      <c r="C11" s="522" t="s">
        <v>122</v>
      </c>
      <c r="D11" s="522"/>
      <c r="E11" s="522"/>
      <c r="F11" s="522"/>
      <c r="G11" s="522"/>
      <c r="H11" s="523"/>
      <c r="I11" s="1" t="str">
        <f>IF($K$5="Deutsch","Firma:",IF($K$5="English","Company:",IF($K$5="Français","Société:",IF($K$5="Portugues","Firma:",IF($K$5="中文","供应商：",IF($K$5="हिन्दी","कम्पनी:"))))))</f>
        <v>Company:</v>
      </c>
      <c r="J11" s="344" t="str">
        <f>IF($B$6="","",IF($B$6="ThyssenKrupp Presta Tec Center AG","ThyssenKrupp Presta Tec Center AG",IF($B$6="ThyssenKrupp Presta Ilsenburg GmbH","ThyssenKrupp Presta Ilsenburg GmbH",IF($B$6="ThyssenKrupp Presta Chemnitz GmbH","ThyssenKrupp Presta Chemnitz GmbH",IF($B$6="ThyssenKrupp Presta Danville LLC","ThyssenKrupp Presta Danville LLC",IF($B$6="ThyssenKrupp Presta Dalian Co. Ltd.","ThyssenKrupp Presta Dalian Co. Ltd.",IF($B$6="ThyssenKrupp Valvetrain GmbH","ThyssenKrupp Valvetrain GmbH",IF($B$6="ThyssenKrupp Valvetrain China Ltd.","ThyssenKrupp Valvetrain China Ltd.",IF($B$6="ThyssenKrupp Brasil Ltda.","ThyssenKrupp Brasil Ltda.",)))))))))</f>
        <v>ThyssenKrupp Presta Ilsenburg GmbH</v>
      </c>
      <c r="K11" s="344"/>
      <c r="L11" s="344"/>
      <c r="M11" s="344"/>
      <c r="N11" s="345"/>
      <c r="O11" s="153"/>
      <c r="P11" s="153"/>
      <c r="Q11" s="153"/>
      <c r="R11" s="153"/>
      <c r="S11" s="153"/>
      <c r="T11" s="152" t="s">
        <v>10</v>
      </c>
      <c r="U11" s="155" t="s">
        <v>78</v>
      </c>
      <c r="V11" s="152"/>
      <c r="W11" s="152"/>
      <c r="X11" s="152"/>
      <c r="Y11" s="153"/>
      <c r="Z11" s="157" t="s">
        <v>65</v>
      </c>
      <c r="AA11" s="158">
        <v>240</v>
      </c>
      <c r="AB11" s="159">
        <v>0.03</v>
      </c>
      <c r="AC11" s="158">
        <v>20</v>
      </c>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row>
    <row r="12" spans="2:51" ht="15" customHeight="1" x14ac:dyDescent="0.25">
      <c r="B12" s="2" t="str">
        <f>IF($K$5="Deutsch","Adresse:",IF($K$5="English","Address:",IF($K$5="Français","Adresse:",IF($K$5="Portugues","Endereço:",IF($K$5="中文","地址：",IF($K$5="हिन्दी","पता:"))))))</f>
        <v>Address:</v>
      </c>
      <c r="C12" s="524"/>
      <c r="D12" s="524"/>
      <c r="E12" s="524"/>
      <c r="F12" s="524"/>
      <c r="G12" s="524"/>
      <c r="H12" s="525"/>
      <c r="I12" s="2" t="str">
        <f>IF($K$5="Deutsch","Adresse:",IF($K$5="English","Address:",IF($K$5="Français","Adresse:",IF($K$5="Portugues","Endereço:",IF($K$5="中文","地址：",IF($K$5="हिन्दी","पता:"))))))</f>
        <v>Address:</v>
      </c>
      <c r="J12" s="337" t="str">
        <f>IF($B$6="","",IF($B$6="ThyssenKrupp Presta Tec Center AG",$T$42,IF($B$6="ThyssenKrupp Presta Ilsenburg GmbH",$W$42,IF($B$6="ThyssenKrupp Presta Chemnitz GmbH",$Z$42,IF($B$6="ThyssenKrupp Presta Danville LLC",$AC$42,IF($B$6="ThyssenKrupp Presta Dalian Co. Ltd.",$AF$42,IF($B$6="ThyssenKrupp Valvetrain GmbH",$AK$42,IF($B$6="ThyssenKrupp Valvetrain China Ltd.",$AN$42,IF($B$6="ThyssenKrupp Brasil Ltda.",$AR$42,)))))))))</f>
        <v>Veckenstedter Weg 16</v>
      </c>
      <c r="K12" s="337"/>
      <c r="L12" s="337"/>
      <c r="M12" s="337"/>
      <c r="N12" s="338"/>
      <c r="O12" s="153"/>
      <c r="P12" s="153"/>
      <c r="Q12" s="153"/>
      <c r="R12" s="153"/>
      <c r="S12" s="153"/>
      <c r="T12" s="152" t="s">
        <v>4</v>
      </c>
      <c r="U12" s="155" t="s">
        <v>79</v>
      </c>
      <c r="V12" s="152"/>
      <c r="W12" s="152"/>
      <c r="X12" s="152"/>
      <c r="Y12" s="152"/>
      <c r="Z12" s="157" t="s">
        <v>7</v>
      </c>
      <c r="AA12" s="158">
        <v>240</v>
      </c>
      <c r="AB12" s="159">
        <v>0.03</v>
      </c>
      <c r="AC12" s="158">
        <v>20</v>
      </c>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row>
    <row r="13" spans="2:51" ht="15" customHeight="1" x14ac:dyDescent="0.25">
      <c r="B13" s="2" t="str">
        <f>IF($K$5="Deutsch","PLZ, Ort:",IF($K$5="English","Postcode, Place:",IF($K$5="Français","CP, lieu:",IF($K$5="Portugues","Cod. Postal, Localidade:",IF($K$5="中文","邮编：",IF($K$5="हिन्दी","पोस्टल कोड, शहर:"))))))</f>
        <v>Postcode, Place:</v>
      </c>
      <c r="C13" s="524"/>
      <c r="D13" s="524"/>
      <c r="E13" s="524"/>
      <c r="F13" s="524"/>
      <c r="G13" s="524"/>
      <c r="H13" s="525"/>
      <c r="I13" s="2" t="str">
        <f>IF($K$5="Deutsch","PLZ, Ort:",IF($K$5="English","Postcode, Place:",IF($K$5="Français","CP, lieu:",IF($K$5="Portugues","Cod. Postal, Localidade:",IF($K$5="中文","邮编：",IF($K$5="हिन्दी","पोस्टल कोड, शहर:"))))))</f>
        <v>Postcode, Place:</v>
      </c>
      <c r="J13" s="337" t="str">
        <f>IF($B$6="","",IF($B$6="ThyssenKrupp Presta Tec Center AG",$T$43,IF($B$6="ThyssenKrupp Presta Ilsenburg GmbH",$W$43,IF($B$6="ThyssenKrupp Presta Chemnitz GmbH",$Z$43,IF($B$6="ThyssenKrupp Presta Danville LLC",$AC$43,IF($B$6="ThyssenKrupp Presta Dalian Co. Ltd.",$AF$43,IF($B$6="ThyssenKrupp Valvetrain GmbH",$AK$43,IF($B$6="ThyssenKrupp Valvetrain China Ltd.",$AN$43,IF($B$6="ThyssenKrupp Brasil Ltda.",$AR$43,)))))))))</f>
        <v>38871 Ilsenburg</v>
      </c>
      <c r="K13" s="337"/>
      <c r="L13" s="337"/>
      <c r="M13" s="337"/>
      <c r="N13" s="338"/>
      <c r="O13" s="153"/>
      <c r="P13" s="153"/>
      <c r="Q13" s="153"/>
      <c r="R13" s="153"/>
      <c r="S13" s="153"/>
      <c r="T13" s="152" t="s">
        <v>2</v>
      </c>
      <c r="U13" s="155" t="s">
        <v>80</v>
      </c>
      <c r="V13" s="152"/>
      <c r="W13" s="152"/>
      <c r="X13" s="152"/>
      <c r="Y13" s="152"/>
      <c r="Z13" s="157" t="s">
        <v>5</v>
      </c>
      <c r="AA13" s="158">
        <v>240</v>
      </c>
      <c r="AB13" s="159">
        <v>0.03</v>
      </c>
      <c r="AC13" s="158">
        <v>20</v>
      </c>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row>
    <row r="14" spans="2:51" ht="15" customHeight="1" x14ac:dyDescent="0.25">
      <c r="B14" s="2" t="str">
        <f>IF($K$5="Deutsch","Land:",IF($K$5="English","Country:",IF($K$5="Français","Pays:",IF($K$5="Portugues","Pais:",IF($K$5="中文","国家：",IF($K$5="हिन्दी","देश:"))))))</f>
        <v>Country:</v>
      </c>
      <c r="C14" s="524"/>
      <c r="D14" s="524"/>
      <c r="E14" s="524"/>
      <c r="F14" s="524"/>
      <c r="G14" s="524"/>
      <c r="H14" s="525"/>
      <c r="I14" s="2" t="str">
        <f>IF($K$5="Deutsch","Land:",IF($K$5="English","Country:",IF($K$5="Français","Pays:",IF($K$5="Portugues","Pais:",IF($K$5="中文","国家：",IF($K$5="हिन्दी","देश:"))))))</f>
        <v>Country:</v>
      </c>
      <c r="J14" s="337" t="str">
        <f>IF($B$6="","",IF($B$6="ThyssenKrupp Presta Tec Center AG",$T$44,IF($B$6="ThyssenKrupp Presta Ilsenburg GmbH",$W$44,IF($B$6="ThyssenKrupp Presta Chemnitz GmbH",$Z$44,IF($B$6="ThyssenKrupp Presta Danville LLC",$AC$44,IF($B$6="ThyssenKrupp Presta Dalian Co. Ltd.",$AF$44,IF($B$6="ThyssenKrupp Valvetrain GmbH",$AK$44,IF($B$6="ThyssenKrupp Valvetrain China Ltd.",$AN$44,IF($B$6="ThyssenKrupp Brasil Ltda.",$AR$44,)))))))))</f>
        <v>Germany / Deutschland</v>
      </c>
      <c r="K14" s="337"/>
      <c r="L14" s="337"/>
      <c r="M14" s="337"/>
      <c r="N14" s="338"/>
      <c r="O14" s="153"/>
      <c r="P14" s="153"/>
      <c r="Q14" s="153"/>
      <c r="R14" s="153"/>
      <c r="S14" s="153"/>
      <c r="T14" s="152" t="s">
        <v>3</v>
      </c>
      <c r="U14" s="155" t="s">
        <v>81</v>
      </c>
      <c r="V14" s="152"/>
      <c r="W14" s="152"/>
      <c r="X14" s="152"/>
      <c r="Y14" s="152"/>
      <c r="Z14" s="157" t="s">
        <v>8</v>
      </c>
      <c r="AA14" s="158">
        <v>288</v>
      </c>
      <c r="AB14" s="159">
        <v>0.05</v>
      </c>
      <c r="AC14" s="158">
        <v>30</v>
      </c>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row>
    <row r="15" spans="2:51" ht="15" customHeight="1" x14ac:dyDescent="0.2">
      <c r="B15" s="2" t="str">
        <f>IF($K$5="Deutsch","Kontaktperson:",IF($K$5="English","Contact name:",IF($K$5="Français","Interlocuteur:",IF($K$5="Portugues","Perssoas para contato:",IF($K$5="中文","联系人：",IF($K$5="हिन्दी","संपर्क व्यक्ति:"))))))</f>
        <v>Contact name:</v>
      </c>
      <c r="C15" s="524"/>
      <c r="D15" s="524"/>
      <c r="E15" s="524"/>
      <c r="F15" s="524"/>
      <c r="G15" s="524"/>
      <c r="H15" s="525"/>
      <c r="I15" s="2" t="str">
        <f>IF($K$5="Deutsch","Kontaktperson:",IF($K$5="English","Contact name:",IF($K$5="Français","Interlocuteur:",IF($K$5="Portugues","Perssoas para contato:",IF($K$5="中文","联系人：",IF($K$5="हिन्दी","संपर्क व्यक्ति:"))))))</f>
        <v>Contact name:</v>
      </c>
      <c r="J15" s="255"/>
      <c r="K15" s="256"/>
      <c r="L15" s="256"/>
      <c r="M15" s="256"/>
      <c r="N15" s="257"/>
      <c r="O15" s="153"/>
      <c r="P15" s="153"/>
      <c r="Q15" s="153"/>
      <c r="R15" s="153"/>
      <c r="S15" s="153"/>
      <c r="T15" s="152" t="s">
        <v>1</v>
      </c>
      <c r="U15" s="155"/>
      <c r="V15" s="152"/>
      <c r="W15" s="152"/>
      <c r="X15" s="152"/>
      <c r="Y15" s="152"/>
      <c r="Z15" s="153" t="s">
        <v>9</v>
      </c>
      <c r="AA15" s="158">
        <v>312</v>
      </c>
      <c r="AB15" s="159">
        <v>0.05</v>
      </c>
      <c r="AC15" s="158">
        <v>30</v>
      </c>
      <c r="AD15" s="153"/>
      <c r="AE15" s="153"/>
      <c r="AF15" s="153"/>
      <c r="AG15" s="153"/>
      <c r="AH15" s="153"/>
      <c r="AI15" s="153"/>
      <c r="AJ15" s="153"/>
      <c r="AK15" s="153"/>
      <c r="AL15" s="153"/>
      <c r="AM15" s="153"/>
      <c r="AN15" s="153"/>
      <c r="AO15" s="153"/>
      <c r="AP15" s="153"/>
      <c r="AQ15" s="153"/>
      <c r="AR15" s="153"/>
      <c r="AS15" s="153"/>
      <c r="AT15" s="153"/>
      <c r="AU15" s="153"/>
      <c r="AV15" s="161"/>
      <c r="AW15" s="153"/>
      <c r="AX15" s="153"/>
      <c r="AY15" s="153"/>
    </row>
    <row r="16" spans="2:51" ht="15" customHeight="1" x14ac:dyDescent="0.25">
      <c r="B16" s="2" t="str">
        <f>IF($K$5="Deutsch","Abteilung:",IF($K$5="English","Department:",IF($K$5="Français","Département:",IF($K$5="Portugues","Departamento:",IF($K$5="中文","部门：",IF($K$5="हिन्दी","विभाग:"))))))</f>
        <v>Department:</v>
      </c>
      <c r="C16" s="524"/>
      <c r="D16" s="524"/>
      <c r="E16" s="524"/>
      <c r="F16" s="524"/>
      <c r="G16" s="524"/>
      <c r="H16" s="525"/>
      <c r="I16" s="2" t="str">
        <f>IF($K$5="Deutsch","Abteilung:",IF($K$5="English","Department:",IF($K$5="Français","Département:",IF($K$5="Portugues","Departamento:",IF($K$5="中文","部门：",IF($K$5="हिन्दी","विभाग:"))))))</f>
        <v>Department:</v>
      </c>
      <c r="J16" s="255"/>
      <c r="K16" s="256"/>
      <c r="L16" s="256"/>
      <c r="M16" s="256"/>
      <c r="N16" s="257"/>
      <c r="O16" s="153"/>
      <c r="P16" s="153"/>
      <c r="Q16" s="153"/>
      <c r="R16" s="153"/>
      <c r="S16" s="153"/>
      <c r="T16" s="152" t="s">
        <v>11</v>
      </c>
      <c r="U16" s="155"/>
      <c r="V16" s="152"/>
      <c r="W16" s="152"/>
      <c r="X16" s="152"/>
      <c r="Y16" s="152"/>
      <c r="Z16" s="157" t="s">
        <v>69</v>
      </c>
      <c r="AA16" s="158">
        <v>312</v>
      </c>
      <c r="AB16" s="159">
        <v>0.05</v>
      </c>
      <c r="AC16" s="158">
        <v>30</v>
      </c>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row>
    <row r="17" spans="2:51" ht="15" customHeight="1" x14ac:dyDescent="0.25">
      <c r="B17" s="2" t="str">
        <f>IF($K$5="Deutsch","Telefon:",IF($K$5="English","Telephone:",IF($K$5="Français","Téléphone:",IF($K$5="Portugues","Telefone:",IF($K$5="中文","联系电话：",IF($K$5="हिन्दी","फोन:"))))))</f>
        <v>Telephone:</v>
      </c>
      <c r="C17" s="524"/>
      <c r="D17" s="524"/>
      <c r="E17" s="524"/>
      <c r="F17" s="524"/>
      <c r="G17" s="524"/>
      <c r="H17" s="525"/>
      <c r="I17" s="2" t="str">
        <f>IF($K$5="Deutsch","Telefon:",IF($K$5="English","Telephone:",IF($K$5="Français","Téléphone:",IF($K$5="Portugues","Telefone:",IF($K$5="中文","联系电话：",IF($K$5="हिन्दी","फोन:"))))))</f>
        <v>Telephone:</v>
      </c>
      <c r="J17" s="255"/>
      <c r="K17" s="256"/>
      <c r="L17" s="256"/>
      <c r="M17" s="256"/>
      <c r="N17" s="257"/>
      <c r="O17" s="153"/>
      <c r="P17" s="153"/>
      <c r="Q17" s="153"/>
      <c r="R17" s="153"/>
      <c r="S17" s="153"/>
      <c r="T17" s="152"/>
      <c r="U17" s="152"/>
      <c r="V17" s="152"/>
      <c r="W17" s="152"/>
      <c r="X17" s="152"/>
      <c r="Y17" s="153"/>
      <c r="Z17" s="157" t="s">
        <v>71</v>
      </c>
      <c r="AA17" s="158">
        <v>280</v>
      </c>
      <c r="AB17" s="159">
        <v>0.08</v>
      </c>
      <c r="AC17" s="158">
        <v>30</v>
      </c>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row>
    <row r="18" spans="2:51" ht="15" customHeight="1" x14ac:dyDescent="0.25">
      <c r="B18" s="2" t="str">
        <f>IF($K$5="Deutsch","Fax:",IF($K$5="English","Fax:",IF($K$5="Français","Fax:",IF($K$5="Portugues","Fax:",IF($K$5="中文","传真：",IF($K$5="हिन्दी","फैक्स:"))))))</f>
        <v>Fax:</v>
      </c>
      <c r="C18" s="524"/>
      <c r="D18" s="524"/>
      <c r="E18" s="524"/>
      <c r="F18" s="524"/>
      <c r="G18" s="524"/>
      <c r="H18" s="525"/>
      <c r="I18" s="2" t="str">
        <f>IF($K$5="Deutsch","Fax:",IF($K$5="English","Fax:",IF($K$5="Français","Fax:",IF($K$5="Portugues","Fax:",IF($K$5="中文","传真：",IF($K$5="हिन्दी","फैक्स:"))))))</f>
        <v>Fax:</v>
      </c>
      <c r="J18" s="255"/>
      <c r="K18" s="256"/>
      <c r="L18" s="256"/>
      <c r="M18" s="256"/>
      <c r="N18" s="257"/>
      <c r="O18" s="153"/>
      <c r="P18" s="153"/>
      <c r="Q18" s="153"/>
      <c r="R18" s="153"/>
      <c r="S18" s="153"/>
      <c r="T18" s="152"/>
      <c r="U18" s="152"/>
      <c r="V18" s="152"/>
      <c r="W18" s="152"/>
      <c r="X18" s="152"/>
      <c r="Y18" s="153"/>
      <c r="Z18" s="157" t="s">
        <v>75</v>
      </c>
      <c r="AA18" s="158">
        <v>280</v>
      </c>
      <c r="AB18" s="159">
        <v>0.08</v>
      </c>
      <c r="AC18" s="158">
        <v>30</v>
      </c>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row>
    <row r="19" spans="2:51" ht="15" customHeight="1" x14ac:dyDescent="0.25">
      <c r="B19" s="88" t="str">
        <f>IF($K$5="Deutsch","email:",IF($K$5="English","email:",IF($K$5="Français","email:",IF($K$5="Portugues","email:",IF($K$5="中文","邮箱：",IF($K$5="हिन्दी","ईमेल:"))))))</f>
        <v>email:</v>
      </c>
      <c r="C19" s="524"/>
      <c r="D19" s="524"/>
      <c r="E19" s="524"/>
      <c r="F19" s="524"/>
      <c r="G19" s="524"/>
      <c r="H19" s="525"/>
      <c r="I19" s="88" t="str">
        <f>IF($K$5="Deutsch","email:",IF($K$5="English","email:",IF($K$5="Français","email:",IF($K$5="Portugues","email:",IF($K$5="中文","邮箱：",IF($K$5="हिन्दी","ईमेल:"))))))</f>
        <v>email:</v>
      </c>
      <c r="J19" s="255"/>
      <c r="K19" s="256"/>
      <c r="L19" s="256"/>
      <c r="M19" s="256"/>
      <c r="N19" s="257"/>
      <c r="O19" s="153"/>
      <c r="P19" s="153"/>
      <c r="Q19" s="153"/>
      <c r="R19" s="153"/>
      <c r="S19" s="153"/>
      <c r="T19" s="152"/>
      <c r="U19" s="152" t="s">
        <v>35</v>
      </c>
      <c r="V19" s="152" t="s">
        <v>14</v>
      </c>
      <c r="W19" s="152" t="s">
        <v>35</v>
      </c>
      <c r="X19" s="152"/>
      <c r="Y19" s="153"/>
      <c r="Z19" s="157" t="s">
        <v>76</v>
      </c>
      <c r="AA19" s="158">
        <v>240</v>
      </c>
      <c r="AB19" s="159">
        <v>0.03</v>
      </c>
      <c r="AC19" s="158">
        <v>20</v>
      </c>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row>
    <row r="20" spans="2:51" ht="31.5" customHeight="1" thickBot="1" x14ac:dyDescent="0.25">
      <c r="B20" s="41" t="str">
        <f>IF($K$5="Deutsch","Zusätzliche Kontaktperson:",IF($K$5="English","Additional contacts:",IF($K$5="Français","Autre personne:",IF($K$5="Portugues","Outras pessoas de contato:",IF($K$5="中文","采购联系人：",IF($K$5="हिन्दी","अतिरिक्त संपर्क व्यक्ति:"))))))</f>
        <v>Additional contacts:</v>
      </c>
      <c r="C20" s="542"/>
      <c r="D20" s="542"/>
      <c r="E20" s="542"/>
      <c r="F20" s="542"/>
      <c r="G20" s="542"/>
      <c r="H20" s="543"/>
      <c r="I20" s="41" t="str">
        <f>IF($K$5="Deutsch","Zusätzliche Kontaktperson:",IF($K$5="English","Additional contacts:",IF($K$5="Français","Autre personne:",IF($K$5="Portugues","Outras pessoas de contato:",IF($K$5="中文","采购联系人：",IF($K$5="हिन्दी","अतिरिक्त संपर्क व्यक्ति:"))))))</f>
        <v>Additional contacts:</v>
      </c>
      <c r="J20" s="382"/>
      <c r="K20" s="383"/>
      <c r="L20" s="383"/>
      <c r="M20" s="383"/>
      <c r="N20" s="384"/>
      <c r="O20" s="153"/>
      <c r="P20" s="153"/>
      <c r="Q20" s="153"/>
      <c r="R20" s="153"/>
      <c r="S20" s="153"/>
      <c r="T20" s="152"/>
      <c r="U20" s="152" t="s">
        <v>36</v>
      </c>
      <c r="V20" s="152" t="s">
        <v>16</v>
      </c>
      <c r="W20" s="152" t="s">
        <v>39</v>
      </c>
      <c r="X20" s="152"/>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row>
    <row r="21" spans="2:51" ht="3.75" customHeight="1" thickBot="1" x14ac:dyDescent="0.25">
      <c r="B21" s="10"/>
      <c r="C21" s="10"/>
      <c r="D21" s="10"/>
      <c r="E21" s="10"/>
      <c r="F21" s="10"/>
      <c r="G21" s="10"/>
      <c r="H21" s="128"/>
      <c r="I21" s="128"/>
      <c r="J21" s="10"/>
      <c r="K21" s="10"/>
      <c r="L21" s="10"/>
      <c r="M21" s="10"/>
      <c r="N21" s="10"/>
      <c r="O21" s="152"/>
      <c r="P21" s="153"/>
      <c r="Q21" s="153"/>
      <c r="R21" s="153"/>
      <c r="S21" s="153"/>
      <c r="T21" s="152"/>
      <c r="U21" s="152"/>
      <c r="V21" s="152"/>
      <c r="W21" s="152"/>
      <c r="X21" s="152"/>
      <c r="Y21" s="153"/>
      <c r="Z21" s="153"/>
      <c r="AA21" s="153"/>
      <c r="AB21" s="153"/>
      <c r="AC21" s="153"/>
      <c r="AD21" s="153"/>
      <c r="AE21" s="153"/>
      <c r="AF21" s="153"/>
      <c r="AG21" s="153"/>
      <c r="AH21" s="153"/>
      <c r="AI21" s="153"/>
      <c r="AJ21" s="153"/>
      <c r="AK21" s="153"/>
      <c r="AL21" s="153"/>
      <c r="AM21" s="153"/>
      <c r="AN21" s="153"/>
      <c r="AO21" s="153"/>
      <c r="AP21" s="153"/>
      <c r="AQ21" s="153"/>
      <c r="AR21" s="153"/>
      <c r="AS21" s="153"/>
      <c r="AT21" s="153"/>
      <c r="AU21" s="153"/>
      <c r="AV21" s="153"/>
      <c r="AW21" s="153"/>
      <c r="AX21" s="153"/>
      <c r="AY21" s="153"/>
    </row>
    <row r="22" spans="2:51" ht="15" customHeight="1" x14ac:dyDescent="0.2">
      <c r="B22" s="3" t="str">
        <f>IF($K$5="Deutsch","Erstellungsdatum:",IF($K$5="English","Creation date:",IF($K$5="Français","Date de création:",IF($K$5="Portugues","Data de criação:",IF($K$5="中文","创建日期：",IF($K$5="हिन्दी","निर्माण तिथि:"))))))</f>
        <v>Creation date:</v>
      </c>
      <c r="C22" s="544">
        <v>42736</v>
      </c>
      <c r="D22" s="545"/>
      <c r="E22" s="545"/>
      <c r="F22" s="545"/>
      <c r="G22" s="545"/>
      <c r="H22" s="546"/>
      <c r="I22" s="178" t="str">
        <f>IF($K$5="Deutsch","Teile-Bezeichnung:",IF($K$5="English","Part description:",IF($K$5="Français","Désignation de la pièce:",IF($K$5="Portugues","Descrição da peça:",IF($K$5="中文","零件描述：",IF($K$5="हिन्दी",":भाग का नाम:",))))))</f>
        <v>Part description:</v>
      </c>
      <c r="J22" s="547" t="s">
        <v>123</v>
      </c>
      <c r="K22" s="547"/>
      <c r="L22" s="547"/>
      <c r="M22" s="547"/>
      <c r="N22" s="548"/>
      <c r="O22" s="153"/>
      <c r="P22" s="153"/>
      <c r="Q22" s="153"/>
      <c r="R22" s="153"/>
      <c r="S22" s="153"/>
      <c r="T22" s="152"/>
      <c r="U22" s="152"/>
      <c r="V22" s="152"/>
      <c r="W22" s="152"/>
      <c r="X22" s="152"/>
      <c r="Y22" s="153"/>
      <c r="Z22" s="153"/>
      <c r="AA22" s="153"/>
      <c r="AB22" s="153"/>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row>
    <row r="23" spans="2:51" ht="15" customHeight="1" x14ac:dyDescent="0.2">
      <c r="B23" s="1" t="str">
        <f>IF($K$5="Deutsch","Materialnummer Lieferant:",IF($K$5="English","Material number Supplier:",IF($K$5="Français","Référence fournisseur:",IF($K$5="Portugues","Numero fornecedor do material:",IF($K$5="中文","供应商物料号：",IF($K$5="हिन्दी","सामग्री आपूर्तिकर्ता संख्या:"))))))</f>
        <v>Material number Supplier:</v>
      </c>
      <c r="C23" s="394"/>
      <c r="D23" s="549"/>
      <c r="E23" s="549"/>
      <c r="F23" s="549"/>
      <c r="G23" s="549"/>
      <c r="H23" s="550"/>
      <c r="I23" s="179" t="str">
        <f>IF($K$5="Deutsch","Materialnummer TK:",IF($K$5="English","Material number TK:",IF($K$5="Français","Référence TK:",IF($K$5="Portugues","Numero TK do material:",IF($K$5="中文","客户物料号：",IF($K$5="हिन्दी","ग्राहक सामग्री नंबर:",))))))</f>
        <v>Material number TK:</v>
      </c>
      <c r="J23" s="551">
        <v>123456</v>
      </c>
      <c r="K23" s="552"/>
      <c r="L23" s="552"/>
      <c r="M23" s="552"/>
      <c r="N23" s="553"/>
      <c r="O23" s="153"/>
      <c r="P23" s="153"/>
      <c r="Q23" s="153"/>
      <c r="R23" s="153"/>
      <c r="S23" s="153"/>
      <c r="T23" s="152"/>
      <c r="U23" s="152" t="s">
        <v>37</v>
      </c>
      <c r="V23" s="152" t="s">
        <v>15</v>
      </c>
      <c r="W23" s="152" t="s">
        <v>40</v>
      </c>
      <c r="X23" s="152"/>
      <c r="Y23" s="153"/>
      <c r="Z23" s="153"/>
      <c r="AA23" s="153"/>
      <c r="AB23" s="153"/>
      <c r="AC23" s="153"/>
      <c r="AD23" s="153"/>
      <c r="AE23" s="153"/>
      <c r="AF23" s="153"/>
      <c r="AG23" s="153"/>
      <c r="AH23" s="153"/>
      <c r="AI23" s="153"/>
      <c r="AJ23" s="153"/>
      <c r="AK23" s="153"/>
      <c r="AL23" s="153"/>
      <c r="AM23" s="153"/>
      <c r="AN23" s="153"/>
      <c r="AO23" s="153"/>
      <c r="AP23" s="153"/>
      <c r="AQ23" s="153"/>
      <c r="AR23" s="153"/>
      <c r="AS23" s="153"/>
      <c r="AT23" s="153"/>
      <c r="AU23" s="153"/>
      <c r="AV23" s="153"/>
      <c r="AW23" s="153"/>
      <c r="AX23" s="153"/>
      <c r="AY23" s="153"/>
    </row>
    <row r="24" spans="2:51" ht="30" customHeight="1" x14ac:dyDescent="0.2">
      <c r="B24" s="88" t="str">
        <f>IF($K$5="Deutsch","Materialnummer Setzteil:",IF($K$5="English","Material number directed buy part/set part:",IF($K$5="Français","Pièces à fournisseur imposé par le client:",IF($K$5="Portugues","Numero fornecedor homologado:",IF($K$5="中文","Material number directed buy part:",IF($K$5="हिन्दी","Material number directed buy part:"))))))</f>
        <v>Material number directed buy part/set part:</v>
      </c>
      <c r="C24" s="360"/>
      <c r="D24" s="360"/>
      <c r="E24" s="360"/>
      <c r="F24" s="360"/>
      <c r="G24" s="360"/>
      <c r="H24" s="534"/>
      <c r="I24" s="180" t="str">
        <f>IF($K$5="Deutsch","Teile-Gewicht:",IF($K$5="English","Part-Weight:",IF($K$5="Français","Poinds de la pièce:",IF($K$5="Portugues","Peso da peça:",IF($K$5="中文","零件重量：",IF($K$5="हिन्दी","भाग वजन:",))))))</f>
        <v>Part-Weight:</v>
      </c>
      <c r="J24" s="181">
        <v>0.125</v>
      </c>
      <c r="K24" s="182" t="s">
        <v>31</v>
      </c>
      <c r="L24" s="363" t="str">
        <f>IF($K$5="Deutsch","Rostschutzzeit:",IF($K$5="English","anti-rust time:",IF($K$5="Français","temps de protection contre la corrosion:",IF($K$5="Portugues","tempo de duração da proteção antiferrugem:",IF($K$5="中文","anti-rust time：",IF($K$5="anti-rust time:",))))))</f>
        <v>anti-rust time:</v>
      </c>
      <c r="M24" s="364"/>
      <c r="N24" s="183" t="s">
        <v>124</v>
      </c>
      <c r="O24" s="153"/>
      <c r="P24" s="153"/>
      <c r="Q24" s="153"/>
      <c r="R24" s="153"/>
      <c r="S24" s="152"/>
      <c r="T24" s="152"/>
      <c r="U24" s="152" t="s">
        <v>38</v>
      </c>
      <c r="V24" s="152" t="s">
        <v>17</v>
      </c>
      <c r="W24" s="152" t="s">
        <v>41</v>
      </c>
      <c r="X24" s="152"/>
      <c r="Y24" s="152"/>
      <c r="Z24" s="152"/>
      <c r="AA24" s="152"/>
      <c r="AB24" s="152"/>
      <c r="AC24" s="152"/>
      <c r="AD24" s="152"/>
      <c r="AE24" s="152"/>
      <c r="AF24" s="152"/>
      <c r="AG24" s="152"/>
      <c r="AH24" s="153"/>
      <c r="AI24" s="153"/>
      <c r="AJ24" s="153"/>
      <c r="AK24" s="153"/>
      <c r="AL24" s="153"/>
      <c r="AM24" s="153"/>
      <c r="AN24" s="153"/>
      <c r="AO24" s="153"/>
      <c r="AP24" s="153"/>
      <c r="AQ24" s="153"/>
      <c r="AR24" s="153"/>
      <c r="AS24" s="153"/>
      <c r="AT24" s="153"/>
      <c r="AU24" s="153"/>
      <c r="AV24" s="153"/>
      <c r="AW24" s="153"/>
      <c r="AX24" s="153"/>
      <c r="AY24" s="153"/>
    </row>
    <row r="25" spans="2:51" ht="30" customHeight="1" x14ac:dyDescent="0.2">
      <c r="B25" s="168" t="str">
        <f>IF($K$5="Deutsch","Befüllungsart:",IF($K$5="English","Method of filling:",IF($K$5="Français","Remplissage de l'emballage:",IF($K$5="Portugues","Tipo de enchimento da embalagem:",IF($K$5="中文","包装方式：",IF($K$5="हिन्दी","भरने का प्रकार:"))))))</f>
        <v>Method of filling:</v>
      </c>
      <c r="C25" s="268"/>
      <c r="D25" s="535"/>
      <c r="E25" s="535"/>
      <c r="F25" s="535"/>
      <c r="G25" s="535"/>
      <c r="H25" s="536"/>
      <c r="I25" s="184" t="str">
        <f>IF($K$5="Deutsch","Zuführung TK:",IF($K$5="English","Machine feeding TK:",IF($K$5="Français","Amenée des pièces aux machines TK:",IF($K$5="Portugues","Suprimento máquina TK :",IF($K$5="中文","Machine feeding TK",IF($K$5="हिन्दी","Machine feeding TK:",))))))</f>
        <v>Machine feeding TK:</v>
      </c>
      <c r="J25" s="457"/>
      <c r="K25" s="458"/>
      <c r="L25" s="274" t="str">
        <f>IF($K$5="Deutsch","Korrosionsschutzmedium:",IF($K$5="English","corrosion protection medium:",IF($K$5="Français","moyen de protection contre la corrosion:",IF($K$5="Portugues","Substância anticorrosiva:",IF($K$5="中文","corrosion protection medium:",IF($K$5="corrosion protection medium:",))))))</f>
        <v>corrosion protection medium:</v>
      </c>
      <c r="M25" s="275"/>
      <c r="N25" s="183" t="s">
        <v>125</v>
      </c>
      <c r="O25" s="153"/>
      <c r="P25" s="153"/>
      <c r="Q25" s="153"/>
      <c r="R25" s="153"/>
      <c r="S25" s="152"/>
      <c r="T25" s="152"/>
      <c r="U25" s="152"/>
      <c r="V25" s="152"/>
      <c r="W25" s="152"/>
      <c r="X25" s="152"/>
      <c r="Y25" s="152"/>
      <c r="Z25" s="152"/>
      <c r="AA25" s="152"/>
      <c r="AB25" s="152"/>
      <c r="AC25" s="152"/>
      <c r="AD25" s="152"/>
      <c r="AE25" s="152"/>
      <c r="AF25" s="152"/>
      <c r="AG25" s="152"/>
      <c r="AH25" s="153"/>
      <c r="AI25" s="153"/>
      <c r="AJ25" s="153"/>
      <c r="AK25" s="153"/>
      <c r="AL25" s="153"/>
      <c r="AM25" s="153"/>
      <c r="AN25" s="153"/>
      <c r="AO25" s="153"/>
      <c r="AP25" s="153"/>
      <c r="AQ25" s="153"/>
      <c r="AR25" s="153"/>
      <c r="AS25" s="153"/>
      <c r="AT25" s="153"/>
      <c r="AU25" s="153"/>
      <c r="AV25" s="153"/>
      <c r="AW25" s="153"/>
      <c r="AX25" s="153"/>
      <c r="AY25" s="153"/>
    </row>
    <row r="26" spans="2:51" ht="15" customHeight="1" x14ac:dyDescent="0.2">
      <c r="B26" s="148" t="str">
        <f>IF($K$5="Deutsch","Fertigungslosgrösse (Stück):",IF($K$5="English","Production Batch Size (pcs):",IF($K$5="Français","Taille du lot de fabrication:",IF($K$5="Portugues","Tamanho do lote (unidades):",IF($K$5="中文","生产批次数量（pcs）：",IF($K$5="हिन्दी","उत्पादन बहुत आकार (यूनिट):"))))))</f>
        <v>Production Batch Size (pcs):</v>
      </c>
      <c r="C26" s="271"/>
      <c r="D26" s="537"/>
      <c r="E26" s="537"/>
      <c r="F26" s="537"/>
      <c r="G26" s="537"/>
      <c r="H26" s="538"/>
      <c r="I26" s="179" t="str">
        <f>IF($K$5="Deutsch","Laufzeit (Jahre):",IF($K$5="English","Life span (years):",IF($K$5="Français","Durée (ans):",IF($K$5="Portugues","Tempo de duração (anos):",IF($K$5="中文","使用期限 （年）：",IF($K$5="हिन्दी","अवधि (वर्ष):",))))))</f>
        <v>Life span (years):</v>
      </c>
      <c r="J26" s="185">
        <v>3</v>
      </c>
      <c r="K26" s="539" t="str">
        <f>IF($K$5="Deutsch","Lieferfrequenz:",IF($K$5="English","Delivery frequency:",IF($K$5="Français","Fréquence de livraison:",IF($K$5="Portugues","Frequēncia de entrega:",IF($K$5="中文","发货频次：",IF($K$5="हिन्दी","प्रसव आवृत्ति:"))))))</f>
        <v>Delivery frequency:</v>
      </c>
      <c r="L26" s="540"/>
      <c r="M26" s="540"/>
      <c r="N26" s="541"/>
      <c r="O26" s="153"/>
      <c r="P26" s="153"/>
      <c r="Q26" s="153"/>
      <c r="R26" s="153"/>
      <c r="S26" s="152"/>
      <c r="T26" s="152"/>
      <c r="U26" s="152"/>
      <c r="V26" s="152"/>
      <c r="W26" s="152"/>
      <c r="X26" s="152"/>
      <c r="Y26" s="152"/>
      <c r="Z26" s="152"/>
      <c r="AA26" s="152"/>
      <c r="AB26" s="152"/>
      <c r="AC26" s="152"/>
      <c r="AD26" s="152"/>
      <c r="AE26" s="152"/>
      <c r="AF26" s="152"/>
      <c r="AG26" s="152"/>
      <c r="AH26" s="153"/>
      <c r="AI26" s="153"/>
      <c r="AJ26" s="153"/>
      <c r="AK26" s="153"/>
      <c r="AL26" s="153"/>
      <c r="AM26" s="153"/>
      <c r="AN26" s="153"/>
      <c r="AO26" s="153"/>
      <c r="AP26" s="153"/>
      <c r="AQ26" s="153"/>
      <c r="AR26" s="153"/>
      <c r="AS26" s="153"/>
      <c r="AT26" s="153"/>
      <c r="AU26" s="153"/>
      <c r="AV26" s="153"/>
      <c r="AW26" s="153"/>
      <c r="AX26" s="153"/>
      <c r="AY26" s="153"/>
    </row>
    <row r="27" spans="2:51" ht="15" customHeight="1" x14ac:dyDescent="0.2">
      <c r="B27" s="260" t="str">
        <f>IF($K$5="Deutsch","Stapelfaktor (befüllt):",IF($K$5="English","Stacking factor (filled):",IF($K$5="Français","Coeff. d'empilage (rempli):",IF($K$5="Portugues","No. Caixas empilhadas (completas):",IF($K$5="中文","包装可堆垛层数：",IF($K$5="हिन्दी","Stacking कारक (भरे):"))))))</f>
        <v>Stacking factor (filled):</v>
      </c>
      <c r="C27" s="558" t="s">
        <v>79</v>
      </c>
      <c r="D27" s="559"/>
      <c r="E27" s="276" t="s">
        <v>77</v>
      </c>
      <c r="F27" s="563" t="s">
        <v>126</v>
      </c>
      <c r="G27" s="564"/>
      <c r="H27" s="565"/>
      <c r="I27" s="569" t="str">
        <f>IF($K$5="Deutsch","Stückzahl pro Jahr (max.):",IF($K$5="English","Annual quantity (pcs.):",IF($K$5="Français","Quantité annuelle (max):",IF($K$5="Portugues","Volume anual (max.):",IF($K$5="中文","年供货数量 （pcs）：",IF($K$5="हिन्दी","मात्रा प्रति वर्ष (अधिकतम)",))))))</f>
        <v>Annual quantity (pcs.):</v>
      </c>
      <c r="J27" s="185">
        <v>150000</v>
      </c>
      <c r="K27" s="186">
        <v>2019</v>
      </c>
      <c r="L27" s="187"/>
      <c r="M27" s="188">
        <f>IF(K27=0,"",K30+1)</f>
        <v>2023</v>
      </c>
      <c r="N27" s="189"/>
      <c r="O27" s="153"/>
      <c r="P27" s="153"/>
      <c r="Q27" s="153"/>
      <c r="R27" s="153"/>
      <c r="S27" s="152"/>
      <c r="T27" s="154" t="s">
        <v>12</v>
      </c>
      <c r="U27" s="152"/>
      <c r="V27" s="154" t="s">
        <v>13</v>
      </c>
      <c r="W27" s="154"/>
      <c r="X27" s="154" t="s">
        <v>53</v>
      </c>
      <c r="Y27" s="152"/>
      <c r="Z27" s="152"/>
      <c r="AA27" s="154" t="s">
        <v>62</v>
      </c>
      <c r="AB27" s="152"/>
      <c r="AC27" s="152"/>
      <c r="AD27" s="152"/>
      <c r="AE27" s="152"/>
      <c r="AF27" s="152"/>
      <c r="AG27" s="152"/>
      <c r="AH27" s="153"/>
      <c r="AI27" s="153"/>
      <c r="AJ27" s="153"/>
      <c r="AK27" s="153"/>
      <c r="AL27" s="153"/>
      <c r="AM27" s="153"/>
      <c r="AN27" s="153"/>
      <c r="AO27" s="153"/>
      <c r="AP27" s="153"/>
      <c r="AQ27" s="153"/>
      <c r="AR27" s="153"/>
      <c r="AS27" s="153"/>
      <c r="AT27" s="153"/>
      <c r="AU27" s="153"/>
      <c r="AV27" s="153"/>
      <c r="AW27" s="153"/>
      <c r="AX27" s="153"/>
      <c r="AY27" s="153"/>
    </row>
    <row r="28" spans="2:51" ht="15" customHeight="1" x14ac:dyDescent="0.2">
      <c r="B28" s="267"/>
      <c r="C28" s="560"/>
      <c r="D28" s="561"/>
      <c r="E28" s="562"/>
      <c r="F28" s="566"/>
      <c r="G28" s="567"/>
      <c r="H28" s="568"/>
      <c r="I28" s="261"/>
      <c r="J28" s="185">
        <v>150000</v>
      </c>
      <c r="K28" s="188">
        <f>IF(K27=0,"",K27+1)</f>
        <v>2020</v>
      </c>
      <c r="L28" s="187"/>
      <c r="M28" s="188">
        <f>IF(K27=0,"",M27+1)</f>
        <v>2024</v>
      </c>
      <c r="N28" s="189"/>
      <c r="O28" s="153"/>
      <c r="P28" s="153"/>
      <c r="Q28" s="153"/>
      <c r="R28" s="153"/>
      <c r="S28" s="152"/>
      <c r="T28" s="155">
        <v>5895</v>
      </c>
      <c r="U28" s="155">
        <f>T28*T30*T31</f>
        <v>33136974000</v>
      </c>
      <c r="V28" s="155">
        <v>12040</v>
      </c>
      <c r="W28" s="155">
        <f>V28*V30*V31</f>
        <v>67679248000</v>
      </c>
      <c r="X28" s="155">
        <v>13200</v>
      </c>
      <c r="Y28" s="155">
        <f>X28*X30*X31</f>
        <v>89760000000</v>
      </c>
      <c r="Z28" s="152" t="s">
        <v>58</v>
      </c>
      <c r="AA28" s="152">
        <v>284</v>
      </c>
      <c r="AB28" s="155">
        <f>AA28*AA30</f>
        <v>28116</v>
      </c>
      <c r="AC28" s="152"/>
      <c r="AD28" s="152"/>
      <c r="AE28" s="152"/>
      <c r="AF28" s="152"/>
      <c r="AG28" s="152"/>
      <c r="AH28" s="153"/>
      <c r="AI28" s="153"/>
      <c r="AJ28" s="153"/>
      <c r="AK28" s="153"/>
      <c r="AL28" s="153"/>
      <c r="AM28" s="153"/>
      <c r="AN28" s="153"/>
      <c r="AO28" s="153"/>
      <c r="AP28" s="153"/>
      <c r="AQ28" s="153"/>
      <c r="AR28" s="153"/>
      <c r="AS28" s="153"/>
      <c r="AT28" s="153"/>
      <c r="AU28" s="153"/>
      <c r="AV28" s="153"/>
      <c r="AW28" s="153"/>
      <c r="AX28" s="153"/>
      <c r="AY28" s="153"/>
    </row>
    <row r="29" spans="2:51" ht="15" customHeight="1" x14ac:dyDescent="0.2">
      <c r="B29" s="470" t="str">
        <f>IF($K$5="Deutsch","Revisionsnummer:",IF($K$5="English","Revision number:",IF($K$5="Français","Numéro de révision:",IF($K$5="Portugues","Número de revisão",IF($K$5="中文","Revision number:",IF($K$5="हिन्दी","Revision number:"))))))</f>
        <v>Revision number:</v>
      </c>
      <c r="C29" s="278"/>
      <c r="D29" s="279"/>
      <c r="E29" s="402" t="str">
        <f>IF($K$5="Deutsch","Revisionsdatum:",IF($K$5="English","Revision date:",IF($K$5="Français","Date de révision:",IF($K$5="Portugues","Data de revisão:",IF($K$5="中文","Revision date:",IF($K$5="हिन्दी","Revision date:"))))))</f>
        <v>Revision date:</v>
      </c>
      <c r="F29" s="377"/>
      <c r="G29" s="378"/>
      <c r="H29" s="379"/>
      <c r="I29" s="261"/>
      <c r="J29" s="185">
        <v>150000</v>
      </c>
      <c r="K29" s="188">
        <f>IF(K27=0,"",K28+1)</f>
        <v>2021</v>
      </c>
      <c r="L29" s="187"/>
      <c r="M29" s="188">
        <f>IF(K27=0,"",M28+1)</f>
        <v>2025</v>
      </c>
      <c r="N29" s="189"/>
      <c r="O29" s="153"/>
      <c r="P29" s="153"/>
      <c r="Q29" s="153"/>
      <c r="R29" s="153"/>
      <c r="S29" s="152"/>
      <c r="T29" s="155" t="s">
        <v>57</v>
      </c>
      <c r="U29" s="155">
        <f>IF(E32="(inch)",F32*U37*G32*U37*H32*U37,F32*G32*H32)</f>
        <v>958080000</v>
      </c>
      <c r="V29" s="155"/>
      <c r="W29" s="155"/>
      <c r="X29" s="155"/>
      <c r="Y29" s="155"/>
      <c r="Z29" s="152" t="s">
        <v>59</v>
      </c>
      <c r="AA29" s="152">
        <v>284</v>
      </c>
      <c r="AB29" s="155">
        <f>AA29*AA30</f>
        <v>28116</v>
      </c>
      <c r="AC29" s="152"/>
      <c r="AD29" s="152"/>
      <c r="AE29" s="152"/>
      <c r="AF29" s="152"/>
      <c r="AG29" s="152"/>
      <c r="AH29" s="153"/>
      <c r="AI29" s="153"/>
      <c r="AJ29" s="153"/>
      <c r="AK29" s="153"/>
      <c r="AL29" s="153"/>
      <c r="AM29" s="153"/>
      <c r="AN29" s="153"/>
      <c r="AO29" s="153"/>
      <c r="AP29" s="153"/>
      <c r="AQ29" s="153"/>
      <c r="AR29" s="153"/>
      <c r="AS29" s="153"/>
      <c r="AT29" s="153"/>
      <c r="AU29" s="153"/>
      <c r="AV29" s="153"/>
      <c r="AW29" s="153"/>
      <c r="AX29" s="153"/>
      <c r="AY29" s="153"/>
    </row>
    <row r="30" spans="2:51" ht="15" customHeight="1" thickBot="1" x14ac:dyDescent="0.25">
      <c r="B30" s="471"/>
      <c r="C30" s="280"/>
      <c r="D30" s="281"/>
      <c r="E30" s="403"/>
      <c r="F30" s="380"/>
      <c r="G30" s="380"/>
      <c r="H30" s="381"/>
      <c r="I30" s="262"/>
      <c r="J30" s="190"/>
      <c r="K30" s="191">
        <f>IF(K27=0,"",K29+1)</f>
        <v>2022</v>
      </c>
      <c r="L30" s="190"/>
      <c r="M30" s="191">
        <f>IF(K27=0,"",M29+1)</f>
        <v>2026</v>
      </c>
      <c r="N30" s="192"/>
      <c r="O30" s="153"/>
      <c r="P30" s="153"/>
      <c r="Q30" s="153"/>
      <c r="R30" s="153"/>
      <c r="S30" s="152"/>
      <c r="T30" s="155">
        <v>2350</v>
      </c>
      <c r="U30" s="155"/>
      <c r="V30" s="155">
        <v>2350</v>
      </c>
      <c r="W30" s="155"/>
      <c r="X30" s="155">
        <v>2500</v>
      </c>
      <c r="Y30" s="155"/>
      <c r="Z30" s="152" t="s">
        <v>54</v>
      </c>
      <c r="AA30" s="152">
        <v>99</v>
      </c>
      <c r="AB30" s="156">
        <f>ROUNDDOWN(AB28/IF(E32="(inch)",(F32*G32),(F32/U37)*(G32/U37)),0)</f>
        <v>18</v>
      </c>
      <c r="AC30" s="152"/>
      <c r="AD30" s="152"/>
      <c r="AE30" s="152"/>
      <c r="AF30" s="152"/>
      <c r="AG30" s="152"/>
      <c r="AH30" s="153"/>
      <c r="AI30" s="153"/>
      <c r="AJ30" s="153"/>
      <c r="AK30" s="153"/>
      <c r="AL30" s="153"/>
      <c r="AM30" s="153"/>
      <c r="AN30" s="153"/>
      <c r="AO30" s="153"/>
      <c r="AP30" s="153"/>
      <c r="AQ30" s="153"/>
      <c r="AR30" s="153"/>
      <c r="AS30" s="153"/>
      <c r="AT30" s="153"/>
      <c r="AU30" s="153"/>
      <c r="AV30" s="153"/>
      <c r="AW30" s="153"/>
      <c r="AX30" s="153"/>
      <c r="AY30" s="153"/>
    </row>
    <row r="31" spans="2:51" ht="25.5" customHeight="1" thickBot="1" x14ac:dyDescent="0.25">
      <c r="O31" s="153"/>
      <c r="P31" s="153"/>
      <c r="Q31" s="153"/>
      <c r="R31" s="153"/>
      <c r="S31" s="152"/>
      <c r="T31" s="155">
        <v>2392</v>
      </c>
      <c r="U31" s="155"/>
      <c r="V31" s="155">
        <v>2392</v>
      </c>
      <c r="W31" s="155"/>
      <c r="X31" s="155">
        <v>2720</v>
      </c>
      <c r="Y31" s="155"/>
      <c r="Z31" s="152" t="s">
        <v>55</v>
      </c>
      <c r="AA31" s="152">
        <v>108.5</v>
      </c>
      <c r="AB31" s="152">
        <f>ROUNDDOWN(AB29/IF(E32="(inch)",(F32*G32),(F32/U37)*(G32/U37)),0)</f>
        <v>18</v>
      </c>
      <c r="AC31" s="152"/>
      <c r="AD31" s="152"/>
      <c r="AE31" s="152"/>
      <c r="AF31" s="152"/>
      <c r="AG31" s="152"/>
      <c r="AH31" s="153"/>
      <c r="AI31" s="153"/>
      <c r="AJ31" s="153"/>
      <c r="AK31" s="153"/>
      <c r="AL31" s="153"/>
      <c r="AM31" s="153"/>
      <c r="AN31" s="153"/>
      <c r="AO31" s="153"/>
      <c r="AP31" s="153"/>
      <c r="AQ31" s="153"/>
      <c r="AR31" s="153"/>
      <c r="AS31" s="153"/>
      <c r="AT31" s="153"/>
      <c r="AU31" s="153"/>
      <c r="AV31" s="153"/>
      <c r="AW31" s="153"/>
      <c r="AX31" s="153"/>
      <c r="AY31" s="153"/>
    </row>
    <row r="32" spans="2:51" ht="15.75" customHeight="1" x14ac:dyDescent="0.2">
      <c r="B32" s="304" t="str">
        <f>IF($K$5="Deutsch","Verpackungsdatenblatt",IF($K$5="English","Packaging Data Sheet",IF($K$5="Français","Données d'emballage",IF($K$5="Portugues","Dados da embalagem",IF($K$5="中文","包装数据",IF($K$5="हिन्दी","डाटा शीट पैकेजिंग",))))))</f>
        <v>Packaging Data Sheet</v>
      </c>
      <c r="C32" s="306" t="str">
        <f>IF($K$5="Deutsch","Aussenmasse BEFÜLLT:",IF($K$5="English","Ext. dimensions FILLED:",IF($K$5="Français","Ext. dimensions UM PLEIN:",IF($K$5="Portugues","Dim. exteriores CHEIO:",IF($K$5="中文","装满的包装外部尺寸:",IF($K$5="हिन्दी","बाहरी आयाम भरा:"))))))</f>
        <v>Ext. dimensions FILLED:</v>
      </c>
      <c r="D32" s="307"/>
      <c r="E32" s="131"/>
      <c r="F32" s="199">
        <v>800</v>
      </c>
      <c r="G32" s="199">
        <v>1200</v>
      </c>
      <c r="H32" s="200">
        <v>998</v>
      </c>
      <c r="I32" s="89" t="str">
        <f>IF($K$5="Deutsch","Volumen BEFÜLLT (m³):",IF($K$5="English","Volume FILLED (m³):",IF($K$5="Français","Volume PLEIN (m³):",IF($K$5="Portugues","Volume CHEIO (m³):",IF($K$5="中文","体积 （装满）：")))))</f>
        <v>Volume FILLED (m³):</v>
      </c>
      <c r="J32" s="6">
        <f>IF($F$32="","",(F32/1000)*(G32/1000)*(H32/1000))</f>
        <v>0.95807999999999993</v>
      </c>
      <c r="K32" s="432" t="str">
        <f>IF($K$5="Deutsch","Füllmenge/Ladeeinheit:",IF($K$5="English","Filling qty / Handling Unit:",IF($K$5="Français","Pièce/Unité d'emballage:",IF($K$5="Portugues","Peças/Embalagem (Opcional):",IF($K$5="中文","零件数量/包装单元：")))))</f>
        <v>Filling qty / Handling Unit:</v>
      </c>
      <c r="L32" s="433"/>
      <c r="M32" s="554">
        <f>M33*48</f>
        <v>2304</v>
      </c>
      <c r="N32" s="555"/>
      <c r="O32" s="153"/>
      <c r="P32" s="153"/>
      <c r="Q32" s="153"/>
      <c r="R32" s="153"/>
      <c r="S32" s="152"/>
      <c r="T32" s="155"/>
      <c r="U32" s="155">
        <f>ROUNDDOWN(U28/$U$29,0)</f>
        <v>34</v>
      </c>
      <c r="V32" s="155"/>
      <c r="W32" s="155">
        <f>ROUNDDOWN(W28/$U$29,0)</f>
        <v>70</v>
      </c>
      <c r="X32" s="155"/>
      <c r="Y32" s="155">
        <f>ROUNDDOWN(Y28/$U$29,0)</f>
        <v>93</v>
      </c>
      <c r="Z32" s="152"/>
      <c r="AA32" s="152"/>
      <c r="AB32" s="155">
        <f>AB30+AB31</f>
        <v>36</v>
      </c>
      <c r="AC32" s="152"/>
      <c r="AD32" s="152"/>
      <c r="AE32" s="152"/>
      <c r="AF32" s="152"/>
      <c r="AG32" s="152"/>
      <c r="AH32" s="153"/>
      <c r="AI32" s="153"/>
      <c r="AJ32" s="153"/>
      <c r="AK32" s="153"/>
      <c r="AL32" s="153"/>
      <c r="AM32" s="153"/>
      <c r="AN32" s="153"/>
      <c r="AO32" s="153"/>
      <c r="AP32" s="153"/>
      <c r="AQ32" s="153"/>
      <c r="AR32" s="153"/>
      <c r="AS32" s="153"/>
      <c r="AT32" s="153"/>
      <c r="AU32" s="153"/>
      <c r="AV32" s="153"/>
      <c r="AW32" s="153"/>
      <c r="AX32" s="153"/>
      <c r="AY32" s="153"/>
    </row>
    <row r="33" spans="2:51" ht="15.75" customHeight="1" thickBot="1" x14ac:dyDescent="0.25">
      <c r="B33" s="305"/>
      <c r="C33" s="311" t="str">
        <f>IF($K$5="Deutsch","Aussenmasse LEER:",IF($K$5="English","Ext. dimensions EMPTY:",IF($K$5="Français","Ext. dimensions UM VIDE:",IF($K$5="Portugues","Dim. exteriores VAZIO:",IF($K$5="中文","空包装的外部尺寸:",IF($K$5="हिन्दी","बाहरी आयाम खाली:"))))))</f>
        <v>Ext. dimensions EMPTY:</v>
      </c>
      <c r="D33" s="312"/>
      <c r="E33" s="132"/>
      <c r="F33" s="201">
        <v>800</v>
      </c>
      <c r="G33" s="201">
        <v>1200</v>
      </c>
      <c r="H33" s="202">
        <v>998</v>
      </c>
      <c r="I33" s="90" t="str">
        <f>IF($K$5="Deutsch","Volumen LEER (m³):",IF($K$5="English","Volume EMPTY (m³):",IF($K$5="Français","Volume PLEIN (m³):",IF($K$5="Portugues","Volume VAZIO (m³):",IF($K$5="中文","体积 （空）：")))))</f>
        <v>Volume EMPTY (m³):</v>
      </c>
      <c r="J33" s="7">
        <f>IF($F$32="","",(F33/1000)*(G33/1000)*(H33/1000))</f>
        <v>0.95807999999999993</v>
      </c>
      <c r="K33" s="388" t="str">
        <f>IF($K$5="Deutsch","Füllmenge (Packstk./Box):",IF($K$5="English","Filling qty (Container/Box):",IF($K$5="Français","Pièce/Unité de manutention:",IF($K$5="Portugues","Quantidade de enchimento (Container/Box):",IF($K$5="中文","零件数量/箱：")))))</f>
        <v>Filling qty (Container/Box):</v>
      </c>
      <c r="L33" s="389"/>
      <c r="M33" s="556">
        <v>48</v>
      </c>
      <c r="N33" s="557"/>
      <c r="O33" s="153"/>
      <c r="P33" s="153"/>
      <c r="Q33" s="153"/>
      <c r="R33" s="153"/>
      <c r="S33" s="152"/>
      <c r="T33" s="155"/>
      <c r="U33" s="155"/>
      <c r="V33" s="152"/>
      <c r="W33" s="155"/>
      <c r="X33" s="155"/>
      <c r="Y33" s="155"/>
      <c r="Z33" s="152" t="s">
        <v>60</v>
      </c>
      <c r="AA33" s="152">
        <v>12200</v>
      </c>
      <c r="AB33" s="155">
        <f>ROUNDDOWN(AA33/$C$49,0)</f>
        <v>33</v>
      </c>
      <c r="AC33" s="152"/>
      <c r="AD33" s="152"/>
      <c r="AE33" s="152"/>
      <c r="AF33" s="152"/>
      <c r="AG33" s="152"/>
      <c r="AH33" s="153"/>
      <c r="AI33" s="153"/>
      <c r="AJ33" s="153"/>
      <c r="AK33" s="153"/>
      <c r="AL33" s="153"/>
      <c r="AM33" s="153"/>
      <c r="AN33" s="153"/>
      <c r="AO33" s="153"/>
      <c r="AP33" s="153"/>
      <c r="AQ33" s="153"/>
      <c r="AR33" s="153"/>
      <c r="AS33" s="153"/>
      <c r="AT33" s="153"/>
      <c r="AU33" s="153"/>
      <c r="AV33" s="153"/>
      <c r="AW33" s="153"/>
      <c r="AX33" s="153"/>
      <c r="AY33" s="153"/>
    </row>
    <row r="34" spans="2:51" ht="16.5" customHeight="1" x14ac:dyDescent="0.2">
      <c r="B34" s="422" t="str">
        <f>IF($K$5="Deutsch","Bezeichnung                      Verpackungsbestandteile:",IF($K$5="English","Designation/description           packaging components:",IF($K$5="Français","Désignation composition de lèmballage",IF($K$5="Portugues","Descrição composição da embalagem:",IF($K$5="中文","包装材料名称或描述",IF($K$5="हिन्दी","नाम पैकेजिंग घटकों:"))))))</f>
        <v>Designation/description           packaging components:</v>
      </c>
      <c r="C34" s="171" t="str">
        <f>IF($K$5="Deutsch","Gewicht:",IF($K$5="English","Weight:",IF($K$5="Français","Poids:",IF($K$5="Portugues","Peso:",IF($K$5="中文","重量",IF($K$5="हिन्दी","वजन:"))))))</f>
        <v>Weight:</v>
      </c>
      <c r="D34" s="321" t="str">
        <f>IF($K$5="Deutsch","1=Einweg     2=Mehrweg",IF($K$5="English","1= OneWay 2=Returnable",IF($K$5="Français","1 =Perdus  2=Réutilis:",IF($K$5="Portugues","1= Descartável 2=Retornavel",IF($K$5="中文","1=不可回收 2=可回收")))))</f>
        <v>1= OneWay 2=Returnable</v>
      </c>
      <c r="E34" s="434" t="str">
        <f>IF($K$5="Deutsch","Ref. Nummer",IF($K$5="English","Ref. Number",IF($K$5="Français","Référence",IF($K$5="Portugues","Nr. de referência",IF($K$5="中文","参考号",IF($K$5="हिन्दी","संदर्भ संख्या:"))))))</f>
        <v>Ref. Number</v>
      </c>
      <c r="F34" s="308" t="str">
        <f>IF($K$5="Deutsch","Abmessungen (mm / inch)",IF($K$5="English","Dimensions (mm / inch)",IF($K$5="Français","Dimensions (mm / inch)",IF($K$5="Portugues","Medida (mm / inch)",IF($K$5="中文","尺寸 （mm / inch）",IF($K$5="हिन्दी","आयाम (मिमी / इंच):"))))))</f>
        <v>Dimensions (mm / inch)</v>
      </c>
      <c r="G34" s="309"/>
      <c r="H34" s="310"/>
      <c r="I34" s="390" t="str">
        <f>IF($K$5="Deutsch","Verpackungslieferant",IF($K$5="English","Packaging supplier",IF($K$5="Français","Fournissuer dèmballage",IF($K$5="Portugues","Fornecedor da embalagem",IF($K$5="中文","包装材料供应商")))))</f>
        <v>Packaging supplier</v>
      </c>
      <c r="J34" s="391"/>
      <c r="K34" s="434" t="str">
        <f>IF($K$5="Deutsch","Anzahl / LE",IF($K$5="English","Number / HU",IF($K$5="Français","Nombre / UM",IF($K$5="Portugues","Quantidade/UT",IF($K$5="中文","使用数量/包装单元")))))</f>
        <v>Number / HU</v>
      </c>
      <c r="L34" s="13" t="str">
        <f>IF($K$5="Deutsch","Taragewicht",IF($K$5="English","Tare weight",IF($K$5="Français","Poids tare:",IF($K$5="Portugues","Peso de Tara",IF($K$5="中文","皮重/包装单元")))))</f>
        <v>Tare weight</v>
      </c>
      <c r="M34" s="14" t="str">
        <f>IF($K$5="Deutsch","Währung",IF($K$5="English","Currency",IF($K$5="Français","Devise:",IF($K$5="Portugues","Mercadoria",IF($K$5="中文","币种")))))</f>
        <v>Currency</v>
      </c>
      <c r="N34" s="203" t="s">
        <v>0</v>
      </c>
      <c r="O34" s="153"/>
      <c r="P34" s="153"/>
      <c r="Q34" s="153"/>
      <c r="R34" s="153"/>
      <c r="S34" s="152"/>
      <c r="T34" s="152"/>
      <c r="U34" s="155"/>
      <c r="V34" s="155"/>
      <c r="W34" s="155"/>
      <c r="X34" s="155"/>
      <c r="Y34" s="155"/>
      <c r="Z34" s="152" t="s">
        <v>61</v>
      </c>
      <c r="AA34" s="152">
        <v>11300</v>
      </c>
      <c r="AB34" s="155">
        <f>ROUNDDOWN(AA34/$C$49,0)</f>
        <v>30</v>
      </c>
      <c r="AC34" s="152"/>
      <c r="AD34" s="152"/>
      <c r="AE34" s="152"/>
      <c r="AF34" s="152"/>
      <c r="AG34" s="152"/>
      <c r="AH34" s="153"/>
      <c r="AI34" s="153"/>
      <c r="AJ34" s="153"/>
      <c r="AK34" s="153"/>
      <c r="AL34" s="153"/>
      <c r="AM34" s="153"/>
      <c r="AN34" s="153"/>
      <c r="AO34" s="153"/>
      <c r="AP34" s="153"/>
      <c r="AQ34" s="153"/>
      <c r="AR34" s="153"/>
      <c r="AS34" s="153"/>
      <c r="AT34" s="153"/>
      <c r="AU34" s="153"/>
      <c r="AV34" s="153"/>
      <c r="AW34" s="153"/>
      <c r="AX34" s="153"/>
      <c r="AY34" s="153"/>
    </row>
    <row r="35" spans="2:51" ht="15" customHeight="1" x14ac:dyDescent="0.2">
      <c r="B35" s="423"/>
      <c r="C35" s="15"/>
      <c r="D35" s="322"/>
      <c r="E35" s="435"/>
      <c r="F35" s="16" t="str">
        <f>IF($K$5="Deutsch","L",IF($K$5="English","L",IF($K$5="Français","L",IF($K$5="Portugues","Comp.",IF($K$5="中文","长")))))</f>
        <v>L</v>
      </c>
      <c r="G35" s="16" t="str">
        <f>IF($K$5="Deutsch","B",IF($K$5="English","W",IF($K$5="Français","P",IF($K$5="Portugues","Larg.",IF($K$5="中文","宽")))))</f>
        <v>W</v>
      </c>
      <c r="H35" s="16" t="str">
        <f>IF($K$5="Deutsch","H",IF($K$5="English","H",IF($K$5="Français","H",IF($K$5="Portugues","Alt.",IF($K$5="中文","高")))))</f>
        <v>H</v>
      </c>
      <c r="I35" s="392"/>
      <c r="J35" s="393"/>
      <c r="K35" s="435"/>
      <c r="L35" s="130"/>
      <c r="M35" s="16" t="str">
        <f>IF($K$5="Deutsch","Preis/Stück",IF($K$5="English","Price/pcs",IF($K$5="Français","Prix/pièce:",IF($K$5="Portugues","Preço/peça",IF($K$5="中文","价格/件")))))</f>
        <v>Price/pcs</v>
      </c>
      <c r="N35" s="17" t="str">
        <f>IF($K$5="Deutsch","Preis/LE",IF($K$5="English","Price/HU",IF($K$5="Français","Pris/UM",IF($K$5="Portugues","Preço/UT",IF($K$5="中文","价格/包装单元")))))</f>
        <v>Price/HU</v>
      </c>
      <c r="O35" s="153"/>
      <c r="P35" s="153"/>
      <c r="Q35" s="153"/>
      <c r="R35" s="153"/>
      <c r="S35" s="152"/>
      <c r="T35" s="155">
        <f>IF(B6="ThyssenKrupp Presta Danville LLC",19900,24000)</f>
        <v>24000</v>
      </c>
      <c r="U35" s="155">
        <f>ROUNDDOWN(T35/$C$49,0)</f>
        <v>65</v>
      </c>
      <c r="V35" s="155">
        <f>IF(B6="ThyssenKrupp Presta Danville LLC",19900,24000)</f>
        <v>24000</v>
      </c>
      <c r="W35" s="155">
        <f>ROUNDDOWN(V35/$C$49,0)</f>
        <v>65</v>
      </c>
      <c r="X35" s="155">
        <v>24000</v>
      </c>
      <c r="Y35" s="155">
        <f>ROUNDDOWN(X35/$C$49,0)</f>
        <v>65</v>
      </c>
      <c r="Z35" s="152"/>
      <c r="AA35" s="152"/>
      <c r="AB35" s="155">
        <f>AB33+AB34</f>
        <v>63</v>
      </c>
      <c r="AC35" s="152"/>
      <c r="AD35" s="152"/>
      <c r="AE35" s="152"/>
      <c r="AF35" s="152"/>
      <c r="AG35" s="152"/>
      <c r="AH35" s="153"/>
      <c r="AI35" s="153"/>
      <c r="AJ35" s="153"/>
      <c r="AK35" s="153"/>
      <c r="AL35" s="153"/>
      <c r="AM35" s="153"/>
      <c r="AN35" s="153"/>
      <c r="AO35" s="153"/>
      <c r="AP35" s="153"/>
      <c r="AQ35" s="153"/>
      <c r="AR35" s="153"/>
      <c r="AS35" s="153"/>
      <c r="AT35" s="153"/>
      <c r="AU35" s="153"/>
      <c r="AV35" s="153"/>
      <c r="AW35" s="153"/>
      <c r="AX35" s="153"/>
      <c r="AY35" s="153"/>
    </row>
    <row r="36" spans="2:51" ht="30" customHeight="1" x14ac:dyDescent="0.2">
      <c r="B36" s="193" t="s">
        <v>127</v>
      </c>
      <c r="C36" s="194">
        <v>16.3</v>
      </c>
      <c r="D36" s="195">
        <v>2</v>
      </c>
      <c r="E36" s="195"/>
      <c r="F36" s="196">
        <v>800</v>
      </c>
      <c r="G36" s="196">
        <v>1200</v>
      </c>
      <c r="H36" s="196">
        <v>160</v>
      </c>
      <c r="I36" s="570" t="s">
        <v>128</v>
      </c>
      <c r="J36" s="571"/>
      <c r="K36" s="195">
        <v>1</v>
      </c>
      <c r="L36" s="18">
        <f t="shared" ref="L36:L43" si="0">IF($K36="","",IF(K36=0,0,$K36*$C36))</f>
        <v>16.3</v>
      </c>
      <c r="M36" s="194">
        <v>0</v>
      </c>
      <c r="N36" s="19">
        <f>IF($M36="","",IF(M36=0,0,$K36*$M36))</f>
        <v>0</v>
      </c>
      <c r="O36" s="153"/>
      <c r="P36" s="153"/>
      <c r="Q36" s="153"/>
      <c r="R36" s="153"/>
      <c r="S36" s="152"/>
      <c r="T36" s="152"/>
      <c r="U36" s="155">
        <f>MIN(U32,U35)</f>
        <v>34</v>
      </c>
      <c r="V36" s="152"/>
      <c r="W36" s="155">
        <f>MIN(W32,W35)</f>
        <v>65</v>
      </c>
      <c r="X36" s="155"/>
      <c r="Y36" s="155">
        <f>MIN(Y32,Y35)</f>
        <v>65</v>
      </c>
      <c r="Z36" s="152"/>
      <c r="AA36" s="152"/>
      <c r="AB36" s="155">
        <f>MIN(AB32,AB35)</f>
        <v>36</v>
      </c>
      <c r="AC36" s="152"/>
      <c r="AD36" s="152"/>
      <c r="AE36" s="152"/>
      <c r="AF36" s="152"/>
      <c r="AG36" s="152"/>
      <c r="AH36" s="153"/>
      <c r="AI36" s="153"/>
      <c r="AJ36" s="153"/>
      <c r="AK36" s="153"/>
      <c r="AL36" s="153"/>
      <c r="AM36" s="153"/>
      <c r="AN36" s="153"/>
      <c r="AO36" s="153"/>
      <c r="AP36" s="153"/>
      <c r="AQ36" s="153"/>
      <c r="AR36" s="153"/>
      <c r="AS36" s="153"/>
      <c r="AT36" s="153"/>
      <c r="AU36" s="153"/>
      <c r="AV36" s="153"/>
      <c r="AW36" s="153"/>
      <c r="AX36" s="153"/>
      <c r="AY36" s="153"/>
    </row>
    <row r="37" spans="2:51" ht="30" customHeight="1" x14ac:dyDescent="0.2">
      <c r="B37" s="193" t="s">
        <v>129</v>
      </c>
      <c r="C37" s="194">
        <v>1.08</v>
      </c>
      <c r="D37" s="195">
        <v>2</v>
      </c>
      <c r="E37" s="195"/>
      <c r="F37" s="196">
        <v>300</v>
      </c>
      <c r="G37" s="196">
        <v>400</v>
      </c>
      <c r="H37" s="196">
        <v>150</v>
      </c>
      <c r="I37" s="570" t="s">
        <v>128</v>
      </c>
      <c r="J37" s="571"/>
      <c r="K37" s="195">
        <v>48</v>
      </c>
      <c r="L37" s="18">
        <f t="shared" si="0"/>
        <v>51.84</v>
      </c>
      <c r="M37" s="194">
        <v>0</v>
      </c>
      <c r="N37" s="19">
        <f t="shared" ref="N37:N43" si="1">IF($M37="","",IF(M37=0,0,$K37*$M37))</f>
        <v>0</v>
      </c>
      <c r="O37" s="153"/>
      <c r="P37" s="153"/>
      <c r="Q37" s="153"/>
      <c r="R37" s="153"/>
      <c r="S37" s="152"/>
      <c r="T37" s="152" t="s">
        <v>56</v>
      </c>
      <c r="U37" s="152">
        <v>25.4</v>
      </c>
      <c r="V37" s="152"/>
      <c r="W37" s="152"/>
      <c r="X37" s="152"/>
      <c r="Y37" s="152"/>
      <c r="Z37" s="152"/>
      <c r="AA37" s="152"/>
      <c r="AB37" s="152"/>
      <c r="AC37" s="152"/>
      <c r="AD37" s="152"/>
      <c r="AE37" s="152"/>
      <c r="AF37" s="152"/>
      <c r="AG37" s="152"/>
      <c r="AH37" s="153"/>
      <c r="AI37" s="153"/>
      <c r="AJ37" s="153"/>
      <c r="AK37" s="153"/>
      <c r="AL37" s="153"/>
      <c r="AM37" s="153"/>
      <c r="AN37" s="153"/>
      <c r="AO37" s="153"/>
      <c r="AP37" s="153"/>
      <c r="AQ37" s="153"/>
      <c r="AR37" s="153"/>
      <c r="AS37" s="153"/>
      <c r="AT37" s="153"/>
      <c r="AU37" s="153"/>
      <c r="AV37" s="153"/>
      <c r="AW37" s="153"/>
      <c r="AX37" s="153"/>
      <c r="AY37" s="153"/>
    </row>
    <row r="38" spans="2:51" ht="30" customHeight="1" x14ac:dyDescent="0.2">
      <c r="B38" s="193" t="s">
        <v>130</v>
      </c>
      <c r="C38" s="194">
        <v>6.1</v>
      </c>
      <c r="D38" s="195">
        <v>2</v>
      </c>
      <c r="E38" s="195"/>
      <c r="F38" s="196">
        <v>807</v>
      </c>
      <c r="G38" s="196">
        <v>1204</v>
      </c>
      <c r="H38" s="196">
        <v>40</v>
      </c>
      <c r="I38" s="570" t="s">
        <v>128</v>
      </c>
      <c r="J38" s="571"/>
      <c r="K38" s="195">
        <v>1</v>
      </c>
      <c r="L38" s="18">
        <f t="shared" si="0"/>
        <v>6.1</v>
      </c>
      <c r="M38" s="194">
        <v>0</v>
      </c>
      <c r="N38" s="19">
        <f t="shared" si="1"/>
        <v>0</v>
      </c>
      <c r="O38" s="153"/>
      <c r="P38" s="153"/>
      <c r="Q38" s="153"/>
      <c r="R38" s="153"/>
      <c r="S38" s="152"/>
      <c r="T38" s="152"/>
      <c r="U38" s="152"/>
      <c r="V38" s="152"/>
      <c r="W38" s="152"/>
      <c r="X38" s="152"/>
      <c r="Y38" s="152"/>
      <c r="Z38" s="152"/>
      <c r="AA38" s="152"/>
      <c r="AB38" s="152"/>
      <c r="AC38" s="152"/>
      <c r="AD38" s="152"/>
      <c r="AE38" s="152"/>
      <c r="AF38" s="152"/>
      <c r="AG38" s="152"/>
      <c r="AH38" s="153"/>
      <c r="AI38" s="153"/>
      <c r="AJ38" s="153"/>
      <c r="AK38" s="153"/>
      <c r="AL38" s="153"/>
      <c r="AM38" s="153"/>
      <c r="AN38" s="153"/>
      <c r="AO38" s="153"/>
      <c r="AP38" s="153"/>
      <c r="AQ38" s="153"/>
      <c r="AR38" s="153"/>
      <c r="AS38" s="153"/>
      <c r="AT38" s="153"/>
      <c r="AU38" s="153"/>
      <c r="AV38" s="153"/>
      <c r="AW38" s="153"/>
      <c r="AX38" s="153"/>
      <c r="AY38" s="153"/>
    </row>
    <row r="39" spans="2:51" ht="30" customHeight="1" x14ac:dyDescent="0.2">
      <c r="B39" s="193" t="s">
        <v>131</v>
      </c>
      <c r="C39" s="194"/>
      <c r="D39" s="195">
        <v>1</v>
      </c>
      <c r="E39" s="195"/>
      <c r="F39" s="197">
        <v>300</v>
      </c>
      <c r="G39" s="196">
        <v>400</v>
      </c>
      <c r="H39" s="196">
        <v>110</v>
      </c>
      <c r="I39" s="570" t="s">
        <v>132</v>
      </c>
      <c r="J39" s="571"/>
      <c r="K39" s="195">
        <v>48</v>
      </c>
      <c r="L39" s="18">
        <f t="shared" si="0"/>
        <v>0</v>
      </c>
      <c r="M39" s="194">
        <v>1.25</v>
      </c>
      <c r="N39" s="19">
        <f t="shared" si="1"/>
        <v>60</v>
      </c>
      <c r="O39" s="153"/>
      <c r="P39" s="153"/>
      <c r="Q39" s="153"/>
      <c r="R39" s="153"/>
      <c r="S39" s="153"/>
      <c r="T39" s="153"/>
      <c r="U39" s="153"/>
      <c r="V39" s="153"/>
      <c r="W39" s="153"/>
      <c r="X39" s="153"/>
      <c r="Y39" s="153"/>
      <c r="Z39" s="153"/>
      <c r="AA39" s="153"/>
      <c r="AB39" s="153"/>
      <c r="AC39" s="153"/>
      <c r="AD39" s="153"/>
      <c r="AE39" s="153"/>
      <c r="AF39" s="153"/>
      <c r="AG39" s="153"/>
      <c r="AH39" s="153"/>
      <c r="AI39" s="153"/>
      <c r="AJ39" s="153"/>
      <c r="AK39" s="153"/>
      <c r="AL39" s="153"/>
      <c r="AM39" s="153"/>
      <c r="AN39" s="153"/>
      <c r="AO39" s="153"/>
      <c r="AP39" s="153"/>
      <c r="AQ39" s="153"/>
      <c r="AR39" s="153"/>
      <c r="AS39" s="153"/>
      <c r="AT39" s="153"/>
      <c r="AU39" s="153"/>
      <c r="AV39" s="153"/>
      <c r="AW39" s="153"/>
      <c r="AX39" s="153"/>
      <c r="AY39" s="153"/>
    </row>
    <row r="40" spans="2:51" ht="30" customHeight="1" x14ac:dyDescent="0.2">
      <c r="B40" s="193" t="s">
        <v>133</v>
      </c>
      <c r="C40" s="198">
        <v>0.1</v>
      </c>
      <c r="D40" s="195">
        <v>1</v>
      </c>
      <c r="E40" s="195"/>
      <c r="F40" s="197"/>
      <c r="G40" s="196"/>
      <c r="H40" s="196"/>
      <c r="I40" s="570" t="s">
        <v>132</v>
      </c>
      <c r="J40" s="571"/>
      <c r="K40" s="195">
        <v>48</v>
      </c>
      <c r="L40" s="18">
        <f t="shared" si="0"/>
        <v>4.8000000000000007</v>
      </c>
      <c r="M40" s="194">
        <v>0.05</v>
      </c>
      <c r="N40" s="19">
        <f t="shared" si="1"/>
        <v>2.4000000000000004</v>
      </c>
      <c r="O40" s="153"/>
      <c r="P40" s="153"/>
      <c r="Q40" s="153"/>
      <c r="R40" s="153"/>
      <c r="S40" s="153"/>
      <c r="T40" s="153" t="str">
        <f>B6</f>
        <v>ThyssenKrupp Presta Ilsenburg GmbH</v>
      </c>
      <c r="U40" s="153"/>
      <c r="V40" s="153"/>
      <c r="W40" s="153"/>
      <c r="X40" s="153"/>
      <c r="Y40" s="153"/>
      <c r="Z40" s="153"/>
      <c r="AA40" s="153"/>
      <c r="AB40" s="153"/>
      <c r="AC40" s="153"/>
      <c r="AD40" s="153"/>
      <c r="AE40" s="153"/>
      <c r="AF40" s="153"/>
      <c r="AG40" s="153"/>
      <c r="AH40" s="153"/>
      <c r="AI40" s="153"/>
      <c r="AJ40" s="153"/>
      <c r="AK40" s="153"/>
      <c r="AL40" s="153"/>
      <c r="AM40" s="153"/>
      <c r="AN40" s="153"/>
      <c r="AO40" s="153"/>
      <c r="AP40" s="153"/>
      <c r="AQ40" s="153"/>
      <c r="AR40" s="153"/>
      <c r="AS40" s="153"/>
      <c r="AT40" s="153"/>
      <c r="AU40" s="153"/>
      <c r="AV40" s="153"/>
      <c r="AW40" s="153"/>
      <c r="AX40" s="153"/>
      <c r="AY40" s="153"/>
    </row>
    <row r="41" spans="2:51" ht="30" customHeight="1" x14ac:dyDescent="0.2">
      <c r="B41" s="193" t="s">
        <v>134</v>
      </c>
      <c r="C41" s="194">
        <v>0.1</v>
      </c>
      <c r="D41" s="195">
        <v>1</v>
      </c>
      <c r="E41" s="195"/>
      <c r="F41" s="197"/>
      <c r="G41" s="196"/>
      <c r="H41" s="196"/>
      <c r="I41" s="570" t="s">
        <v>132</v>
      </c>
      <c r="J41" s="571"/>
      <c r="K41" s="195">
        <v>2</v>
      </c>
      <c r="L41" s="18">
        <f t="shared" si="0"/>
        <v>0.2</v>
      </c>
      <c r="M41" s="194">
        <v>0.05</v>
      </c>
      <c r="N41" s="19">
        <f t="shared" si="1"/>
        <v>0.1</v>
      </c>
      <c r="O41" s="153"/>
      <c r="P41" s="153"/>
      <c r="Q41" s="153"/>
      <c r="R41" s="153"/>
      <c r="S41" s="153"/>
      <c r="T41" s="153" t="s">
        <v>5</v>
      </c>
      <c r="U41" s="153"/>
      <c r="V41" s="153"/>
      <c r="W41" s="153" t="s">
        <v>6</v>
      </c>
      <c r="X41" s="153"/>
      <c r="Y41" s="153"/>
      <c r="Z41" s="153" t="s">
        <v>7</v>
      </c>
      <c r="AA41" s="153"/>
      <c r="AB41" s="153"/>
      <c r="AC41" s="153" t="s">
        <v>8</v>
      </c>
      <c r="AD41" s="153"/>
      <c r="AE41" s="153"/>
      <c r="AF41" s="153" t="s">
        <v>9</v>
      </c>
      <c r="AG41" s="153"/>
      <c r="AH41" s="153"/>
      <c r="AI41" s="153"/>
      <c r="AJ41" s="153"/>
      <c r="AK41" s="153" t="s">
        <v>65</v>
      </c>
      <c r="AL41" s="153"/>
      <c r="AM41" s="153"/>
      <c r="AN41" s="153" t="s">
        <v>69</v>
      </c>
      <c r="AO41" s="153"/>
      <c r="AP41" s="153"/>
      <c r="AQ41" s="153"/>
      <c r="AR41" s="153" t="s">
        <v>72</v>
      </c>
      <c r="AS41" s="153"/>
      <c r="AT41" s="153"/>
      <c r="AU41" s="153"/>
      <c r="AV41" s="153"/>
      <c r="AW41" s="153"/>
      <c r="AX41" s="153"/>
      <c r="AY41" s="153"/>
    </row>
    <row r="42" spans="2:51" ht="30" customHeight="1" x14ac:dyDescent="0.2">
      <c r="B42" s="193" t="s">
        <v>135</v>
      </c>
      <c r="C42" s="194"/>
      <c r="D42" s="195">
        <v>1</v>
      </c>
      <c r="E42" s="195"/>
      <c r="F42" s="197"/>
      <c r="G42" s="196"/>
      <c r="H42" s="196"/>
      <c r="I42" s="570" t="s">
        <v>132</v>
      </c>
      <c r="J42" s="571"/>
      <c r="K42" s="195">
        <v>2</v>
      </c>
      <c r="L42" s="18">
        <f t="shared" si="0"/>
        <v>0</v>
      </c>
      <c r="M42" s="194">
        <v>1</v>
      </c>
      <c r="N42" s="19">
        <f t="shared" si="1"/>
        <v>2</v>
      </c>
      <c r="O42" s="153"/>
      <c r="P42" s="153"/>
      <c r="Q42" s="153"/>
      <c r="R42" s="153"/>
      <c r="S42" s="153"/>
      <c r="T42" s="153" t="s">
        <v>18</v>
      </c>
      <c r="U42" s="153"/>
      <c r="V42" s="153"/>
      <c r="W42" s="153" t="s">
        <v>19</v>
      </c>
      <c r="X42" s="153"/>
      <c r="Y42" s="153"/>
      <c r="Z42" s="153" t="s">
        <v>20</v>
      </c>
      <c r="AA42" s="153"/>
      <c r="AB42" s="153"/>
      <c r="AC42" s="153" t="s">
        <v>21</v>
      </c>
      <c r="AD42" s="153"/>
      <c r="AE42" s="153"/>
      <c r="AF42" s="153" t="s">
        <v>22</v>
      </c>
      <c r="AG42" s="153"/>
      <c r="AH42" s="153"/>
      <c r="AI42" s="153"/>
      <c r="AJ42" s="153"/>
      <c r="AK42" s="153" t="s">
        <v>66</v>
      </c>
      <c r="AL42" s="153"/>
      <c r="AM42" s="153"/>
      <c r="AN42" s="153" t="s">
        <v>67</v>
      </c>
      <c r="AO42" s="153"/>
      <c r="AP42" s="153"/>
      <c r="AQ42" s="153"/>
      <c r="AR42" s="153" t="s">
        <v>73</v>
      </c>
      <c r="AS42" s="153"/>
      <c r="AT42" s="153"/>
      <c r="AU42" s="153"/>
      <c r="AV42" s="153"/>
      <c r="AW42" s="153"/>
      <c r="AX42" s="153"/>
      <c r="AY42" s="153"/>
    </row>
    <row r="43" spans="2:51" ht="30" customHeight="1" x14ac:dyDescent="0.2">
      <c r="B43" s="193" t="s">
        <v>136</v>
      </c>
      <c r="C43" s="194">
        <v>0.01</v>
      </c>
      <c r="D43" s="195">
        <v>1</v>
      </c>
      <c r="E43" s="195"/>
      <c r="F43" s="197">
        <v>330</v>
      </c>
      <c r="G43" s="196">
        <v>240</v>
      </c>
      <c r="H43" s="196">
        <v>1</v>
      </c>
      <c r="I43" s="570" t="s">
        <v>132</v>
      </c>
      <c r="J43" s="571"/>
      <c r="K43" s="195">
        <v>48</v>
      </c>
      <c r="L43" s="18">
        <f t="shared" si="0"/>
        <v>0.48</v>
      </c>
      <c r="M43" s="194">
        <v>0.02</v>
      </c>
      <c r="N43" s="19">
        <f t="shared" si="1"/>
        <v>0.96</v>
      </c>
      <c r="O43" s="153"/>
      <c r="P43" s="153"/>
      <c r="Q43" s="153"/>
      <c r="R43" s="153"/>
      <c r="S43" s="153"/>
      <c r="T43" s="153" t="s">
        <v>23</v>
      </c>
      <c r="U43" s="153"/>
      <c r="V43" s="153"/>
      <c r="W43" s="153" t="s">
        <v>24</v>
      </c>
      <c r="X43" s="153"/>
      <c r="Y43" s="153"/>
      <c r="Z43" s="153" t="s">
        <v>25</v>
      </c>
      <c r="AA43" s="153"/>
      <c r="AB43" s="153"/>
      <c r="AC43" s="153" t="s">
        <v>26</v>
      </c>
      <c r="AD43" s="153"/>
      <c r="AE43" s="153"/>
      <c r="AF43" s="153" t="s">
        <v>27</v>
      </c>
      <c r="AG43" s="153"/>
      <c r="AH43" s="153"/>
      <c r="AI43" s="153"/>
      <c r="AJ43" s="153"/>
      <c r="AK43" s="153" t="s">
        <v>24</v>
      </c>
      <c r="AL43" s="153"/>
      <c r="AM43" s="153"/>
      <c r="AN43" s="153" t="s">
        <v>68</v>
      </c>
      <c r="AO43" s="153"/>
      <c r="AP43" s="153"/>
      <c r="AQ43" s="153"/>
      <c r="AR43" s="153" t="s">
        <v>74</v>
      </c>
      <c r="AS43" s="153"/>
      <c r="AT43" s="153"/>
      <c r="AU43" s="153"/>
      <c r="AV43" s="153"/>
      <c r="AW43" s="153"/>
      <c r="AX43" s="153"/>
      <c r="AY43" s="153"/>
    </row>
    <row r="44" spans="2:51" ht="30" customHeight="1" x14ac:dyDescent="0.2">
      <c r="B44" s="116"/>
      <c r="C44" s="120"/>
      <c r="D44" s="118"/>
      <c r="E44" s="118"/>
      <c r="F44" s="133"/>
      <c r="G44" s="119"/>
      <c r="H44" s="119"/>
      <c r="I44" s="258"/>
      <c r="J44" s="259"/>
      <c r="K44" s="118"/>
      <c r="L44" s="18" t="str">
        <f t="shared" ref="L44:L45" si="2">IF($K44="","",IF(K44=0,0,$K44*$C44))</f>
        <v/>
      </c>
      <c r="M44" s="120"/>
      <c r="N44" s="19" t="str">
        <f t="shared" ref="N44:N45" si="3">IF($M44="","",IF(M44=0,0,$K44*$M44))</f>
        <v/>
      </c>
      <c r="O44" s="153"/>
      <c r="P44" s="153"/>
      <c r="Q44" s="153"/>
      <c r="R44" s="153"/>
      <c r="S44" s="153"/>
      <c r="T44" s="153" t="s">
        <v>47</v>
      </c>
      <c r="U44" s="153"/>
      <c r="V44" s="153"/>
      <c r="W44" s="153" t="s">
        <v>48</v>
      </c>
      <c r="X44" s="153"/>
      <c r="Y44" s="153"/>
      <c r="Z44" s="153" t="s">
        <v>48</v>
      </c>
      <c r="AA44" s="153"/>
      <c r="AB44" s="153"/>
      <c r="AC44" s="153" t="s">
        <v>28</v>
      </c>
      <c r="AD44" s="153"/>
      <c r="AE44" s="153"/>
      <c r="AF44" s="153" t="s">
        <v>49</v>
      </c>
      <c r="AG44" s="153"/>
      <c r="AH44" s="153"/>
      <c r="AI44" s="153"/>
      <c r="AJ44" s="153"/>
      <c r="AK44" s="153" t="s">
        <v>48</v>
      </c>
      <c r="AL44" s="153"/>
      <c r="AM44" s="153"/>
      <c r="AN44" s="153" t="s">
        <v>49</v>
      </c>
      <c r="AO44" s="153"/>
      <c r="AP44" s="153"/>
      <c r="AQ44" s="153"/>
      <c r="AR44" s="153" t="s">
        <v>70</v>
      </c>
      <c r="AS44" s="153"/>
      <c r="AT44" s="153"/>
      <c r="AU44" s="153"/>
      <c r="AV44" s="153"/>
      <c r="AW44" s="153"/>
      <c r="AX44" s="153"/>
      <c r="AY44" s="153"/>
    </row>
    <row r="45" spans="2:51" ht="30" customHeight="1" thickBot="1" x14ac:dyDescent="0.25">
      <c r="B45" s="121"/>
      <c r="C45" s="122"/>
      <c r="D45" s="123"/>
      <c r="E45" s="124"/>
      <c r="F45" s="133"/>
      <c r="G45" s="119"/>
      <c r="H45" s="119"/>
      <c r="I45" s="258"/>
      <c r="J45" s="259"/>
      <c r="K45" s="123"/>
      <c r="L45" s="18" t="str">
        <f t="shared" si="2"/>
        <v/>
      </c>
      <c r="M45" s="122"/>
      <c r="N45" s="19" t="str">
        <f t="shared" si="3"/>
        <v/>
      </c>
      <c r="O45" s="153"/>
      <c r="P45" s="153"/>
      <c r="Q45" s="153"/>
      <c r="R45" s="153"/>
      <c r="S45" s="153"/>
      <c r="T45" s="153"/>
      <c r="U45" s="152"/>
      <c r="V45" s="153"/>
      <c r="W45" s="153"/>
      <c r="X45" s="153"/>
      <c r="Y45" s="153"/>
      <c r="Z45" s="153"/>
      <c r="AA45" s="153"/>
      <c r="AB45" s="153"/>
      <c r="AC45" s="153"/>
      <c r="AD45" s="153"/>
      <c r="AE45" s="153"/>
      <c r="AF45" s="153"/>
      <c r="AG45" s="153"/>
      <c r="AH45" s="153"/>
      <c r="AI45" s="153"/>
      <c r="AJ45" s="153"/>
      <c r="AK45" s="153"/>
      <c r="AL45" s="153"/>
      <c r="AM45" s="153"/>
      <c r="AN45" s="153"/>
      <c r="AO45" s="153"/>
      <c r="AP45" s="153"/>
      <c r="AQ45" s="153"/>
      <c r="AR45" s="153"/>
      <c r="AS45" s="153"/>
      <c r="AT45" s="153"/>
      <c r="AU45" s="153"/>
      <c r="AV45" s="153"/>
      <c r="AW45" s="153"/>
      <c r="AX45" s="153"/>
      <c r="AY45" s="153"/>
    </row>
    <row r="46" spans="2:51" ht="20.100000000000001" customHeight="1" thickBot="1" x14ac:dyDescent="0.3">
      <c r="B46" s="302" t="str">
        <f>IF($K$5="Deutsch","Gewicht",IF($K$5="English","Weight",IF($K$5="Français","Poids",IF($K$5="Portugues","Peso",IF($K$5="中文","重量")))))</f>
        <v>Weight</v>
      </c>
      <c r="C46" s="303"/>
      <c r="D46" s="412" t="str">
        <f>IF($K$5="Deutsch","Transport",IF($K$5="English","Transport",IF($K$5="Français","Transport",IF($K$5="Portugues","Transporte",IF($K$5="中文","运输")))))</f>
        <v>Transport</v>
      </c>
      <c r="E46" s="413"/>
      <c r="F46" s="413"/>
      <c r="G46" s="413"/>
      <c r="H46" s="413"/>
      <c r="I46" s="414"/>
      <c r="J46" s="415" t="str">
        <f>IF($K$5="Deutsch","Verpackungskosten",IF($K$5="English","Packaging costs",IF($K$5="Français","Frais d'emballage",IF($K$5="Portugues","Custos de embalagem",IF($K$5="中文","包装成本")))))</f>
        <v>Packaging costs</v>
      </c>
      <c r="K46" s="415"/>
      <c r="L46" s="415"/>
      <c r="M46" s="415"/>
      <c r="N46" s="416"/>
      <c r="O46" s="153"/>
      <c r="P46" s="153"/>
      <c r="Q46" s="163"/>
      <c r="R46" s="153"/>
      <c r="S46" s="153"/>
      <c r="T46" s="358" t="s">
        <v>83</v>
      </c>
      <c r="U46" s="359"/>
      <c r="V46" s="359"/>
      <c r="W46" s="359"/>
      <c r="X46" s="359"/>
      <c r="Y46" s="153"/>
      <c r="Z46" s="153"/>
      <c r="AA46" s="153"/>
      <c r="AB46" s="153"/>
      <c r="AC46" s="153"/>
      <c r="AD46" s="153"/>
      <c r="AE46" s="153"/>
      <c r="AF46" s="153"/>
      <c r="AG46" s="153"/>
      <c r="AH46" s="153"/>
      <c r="AI46" s="153"/>
      <c r="AJ46" s="153"/>
      <c r="AK46" s="153"/>
      <c r="AL46" s="153"/>
      <c r="AM46" s="153"/>
      <c r="AN46" s="153"/>
      <c r="AO46" s="153"/>
      <c r="AP46" s="153"/>
      <c r="AQ46" s="153"/>
      <c r="AR46" s="153"/>
      <c r="AS46" s="153"/>
      <c r="AT46" s="153"/>
      <c r="AU46" s="153"/>
      <c r="AV46" s="153"/>
      <c r="AW46" s="153"/>
      <c r="AX46" s="153"/>
      <c r="AY46" s="153"/>
    </row>
    <row r="47" spans="2:51" x14ac:dyDescent="0.2">
      <c r="B47" s="59" t="str">
        <f>IF($K$5="Deutsch","Netto-Gewicht (kg/lb):",IF($K$5="English","Netto Weight (kg/lb):",IF($K$5="Français","Poids net (kg/lb):",IF($K$5="Portugues","Peso neto  (kg/lb):",IF($K$5="中文","净重（kg/lb）")))))</f>
        <v>Netto Weight (kg/lb):</v>
      </c>
      <c r="C47" s="20">
        <f>IF($J$24="","",IF($J$24="",0,($M$32*$J$24)))</f>
        <v>288</v>
      </c>
      <c r="D47" s="424" t="str">
        <f>IF($K$5="Deutsch","Anzahl BEFÜLLTER Ladeeinheiten (LE) pro Transportmittel (stapelbar) :",IF($K$5="English","Amount of FILLED handling units per mode of transport (stackable):",IF($K$5="Français","Quantité d'unités de manut. remplies par mode de transport (empilés):",IF($K$5="Portugues","Quanidade pro meio de transporte (empil.):",IF($K$5="中文","标准运输方式可装载的数量 （pcs）""")))))</f>
        <v>Amount of FILLED handling units per mode of transport (stackable):</v>
      </c>
      <c r="E47" s="425"/>
      <c r="F47" s="430" t="str">
        <f>IF($K$5="Deutsch","pro 44 Tonnen LKW:",IF($K$5="English","per truck:",IF($K$5="Français","par camion de 44 to. :",IF($K$5="Portugues","por 44 ton caminhâo:",IF($K$5="中文","44吨卡车：")))))</f>
        <v>per truck:</v>
      </c>
      <c r="G47" s="431"/>
      <c r="H47" s="431"/>
      <c r="I47" s="63">
        <f>IF($M$32="",0,IF(B6="ThyssenKrupp Presta Danville LLC",AB36,Y36))</f>
        <v>65</v>
      </c>
      <c r="J47" s="410" t="str">
        <f>IF($K$5="Deutsch","Einweganteil / LE:",IF($K$5="English","Disposable / HU:",IF($K$5="Français","Proportion perdue/UM:",IF($K$5="Portugues","Proporção descartável / UT:",IF($K$5="中文","不可回收/托盘")))))</f>
        <v>Disposable / HU:</v>
      </c>
      <c r="K47" s="411"/>
      <c r="L47" s="103">
        <f>IF(M36="","",IF(D36=1,N36,0)+IF(D37=1,N37,0)+IF(D38=1,N38,0)+IF(D39=1,N39,0)+IF(D40=1,N40,0)+IF(D41=1,N41,0)+IF(D42=1,N42,0)+IF(D43=1,N43,0)+IF(D44=1,N44,0)+IF(D45=1,N45,0))</f>
        <v>65.459999999999994</v>
      </c>
      <c r="M47" s="104" t="str">
        <f>IF($K$5="Deutsch","/ Stk:",IF($K$5="English","/ pcs:",IF($K$5="Français","/ pièce:",IF($K$5="Portugues","/ peça:",IF($K$5="中文","/ pcs")))))</f>
        <v>/ pcs:</v>
      </c>
      <c r="N47" s="105">
        <f>IF($L47="","",(((IF(L47&gt;=0,L47/$M$32,""))))+IF(N48&lt;&gt;0,0,D52/SUM(J27:J30,L27:L30)))</f>
        <v>2.841145833333333E-2</v>
      </c>
      <c r="O47" s="153"/>
      <c r="P47" s="153"/>
      <c r="Q47" s="153"/>
      <c r="R47" s="153"/>
      <c r="S47" s="153"/>
      <c r="T47" s="359"/>
      <c r="U47" s="359"/>
      <c r="V47" s="359"/>
      <c r="W47" s="359"/>
      <c r="X47" s="359"/>
      <c r="Y47" s="153"/>
      <c r="Z47" s="153"/>
      <c r="AA47" s="153"/>
      <c r="AB47" s="153"/>
      <c r="AC47" s="153"/>
      <c r="AD47" s="153"/>
      <c r="AE47" s="153"/>
      <c r="AF47" s="153"/>
      <c r="AG47" s="153"/>
      <c r="AH47" s="153"/>
      <c r="AI47" s="153"/>
      <c r="AJ47" s="153"/>
      <c r="AK47" s="153"/>
      <c r="AL47" s="153"/>
      <c r="AM47" s="153"/>
      <c r="AN47" s="153"/>
      <c r="AO47" s="153"/>
      <c r="AP47" s="153"/>
      <c r="AQ47" s="153"/>
      <c r="AR47" s="153"/>
      <c r="AS47" s="153"/>
      <c r="AT47" s="153"/>
      <c r="AU47" s="153"/>
      <c r="AV47" s="153"/>
      <c r="AW47" s="153"/>
      <c r="AX47" s="153"/>
      <c r="AY47" s="153"/>
    </row>
    <row r="48" spans="2:51" ht="13.5" customHeight="1" x14ac:dyDescent="0.2">
      <c r="B48" s="60" t="str">
        <f>IF($K$5="Deutsch","Tara-Gewicht (kg/lb):",IF($K$5="English","Tare Weight (kg/lb):",IF($K$5="Français","Poids tare (kg/lb):",IF($K$5="Portugues","Peso tara (kg/lb):",IF($K$5="中文","皮重(kg/lb):")))))</f>
        <v>Tare Weight (kg/lb):</v>
      </c>
      <c r="C48" s="21">
        <f>IF($J$24="","",IF((SUM($L36:$L45))=0,0,(SUM($L36:$L45))))</f>
        <v>79.72</v>
      </c>
      <c r="D48" s="426"/>
      <c r="E48" s="427"/>
      <c r="F48" s="417" t="str">
        <f>IF($K$5="Deutsch","per 20ft Container:",IF($K$5="English","per 20ft Container:",IF($K$5="Français","pour Container 20ft :",IF($K$5="Portugues","por 20ft Container:",IF($K$5="中文","20尺集装箱：")))))</f>
        <v>per 20ft Container:</v>
      </c>
      <c r="G48" s="418"/>
      <c r="H48" s="418"/>
      <c r="I48" s="63">
        <f>IF($M$32="",0,U36)</f>
        <v>34</v>
      </c>
      <c r="J48" s="408" t="str">
        <f>IF($K$5="Deutsch","Mehrweganteil / LE:",IF($K$5="English","Returnable / HU:",IF($K$5="Français","Proportion réutilisable./UM:",IF($K$5="Portugues","Proporção retornável / UT:",IF($K$5="中文","可回收/托盘")))))</f>
        <v>Returnable / HU:</v>
      </c>
      <c r="K48" s="409"/>
      <c r="L48" s="106">
        <f>IF(M36="","",(IF(D36=2,N36,0)+IF(D37=2,N37,0)+IF(D38=2,N38,0)+IF(D39=2,N39,0)+IF(D40=2,N40,0)+IF(D41=2,N41,0)+IF(D42=2,N42,0)+IF(D43=2,N43,0)+IF(D44=2,N44,0)+IF(D45=2,N45,0)))</f>
        <v>0</v>
      </c>
      <c r="M48" s="107" t="str">
        <f>IF($K$5="Deutsch","/ Stk:",IF($K$5="English","/ pcs:",IF($K$5="Français","/ pièce:",IF($K$5="Portugues","/ peça:",IF($K$5="中文","/ pcs")))))</f>
        <v>/ pcs:</v>
      </c>
      <c r="N48" s="108">
        <f>IF($L48="","",(IF(SUM(J27:J30)+SUM(L27:L30)=0,0,((IF(L48&gt;=0,L48*SUM(G54:G55)/(SUM(J27:J30)+SUM(L27:L30)),0)))))+D52/SUM(J27:J30,L27:L30))</f>
        <v>0</v>
      </c>
      <c r="O48" s="153"/>
      <c r="P48" s="153"/>
      <c r="Q48" s="153"/>
      <c r="R48" s="153"/>
      <c r="S48" s="153"/>
      <c r="T48" s="359"/>
      <c r="U48" s="359"/>
      <c r="V48" s="359"/>
      <c r="W48" s="359"/>
      <c r="X48" s="359"/>
      <c r="Y48" s="153"/>
      <c r="Z48" s="153"/>
      <c r="AA48" s="153"/>
      <c r="AB48" s="153"/>
      <c r="AC48" s="153"/>
      <c r="AD48" s="153"/>
      <c r="AE48" s="153"/>
      <c r="AF48" s="153"/>
      <c r="AG48" s="153"/>
      <c r="AH48" s="153"/>
      <c r="AI48" s="153"/>
      <c r="AJ48" s="153"/>
      <c r="AK48" s="153"/>
      <c r="AL48" s="153"/>
      <c r="AM48" s="153"/>
      <c r="AN48" s="153"/>
      <c r="AO48" s="153"/>
      <c r="AP48" s="153"/>
      <c r="AQ48" s="153"/>
      <c r="AR48" s="153"/>
      <c r="AS48" s="153"/>
      <c r="AT48" s="153"/>
      <c r="AU48" s="153"/>
      <c r="AV48" s="153"/>
      <c r="AW48" s="153"/>
      <c r="AX48" s="153"/>
      <c r="AY48" s="153"/>
    </row>
    <row r="49" spans="1:51" ht="14.25" customHeight="1" thickBot="1" x14ac:dyDescent="0.25">
      <c r="B49" s="61" t="str">
        <f>IF($K$5="Deutsch","Brutto-Gewicht (kg/lb):",IF($K$5="English","Gross Weight (kg/lb):",IF($K$5="Français","Poids brut (kg/lb):",IF($K$5="Portugues","Peso bruto (kg/lb):",IF($K$5="中文","毛重(kg/lb):")))))</f>
        <v>Gross Weight (kg/lb):</v>
      </c>
      <c r="C49" s="23">
        <f>IF($J$24="","",IF(SUM(C47:C48)=0,0,SUM(C47:C48)))</f>
        <v>367.72</v>
      </c>
      <c r="D49" s="428"/>
      <c r="E49" s="429"/>
      <c r="F49" s="459" t="str">
        <f>IF($K$5="Deutsch","per 40ft Container:",IF($K$5="English","per 40ft Container:",IF($K$5="Français","pour Container 40ft :",IF($K$5="Portugues","por 40ft Container:",IF($K$5="中文","40尺集装箱")))))</f>
        <v>per 40ft Container:</v>
      </c>
      <c r="G49" s="460"/>
      <c r="H49" s="460"/>
      <c r="I49" s="64">
        <f>IF($M$32="",0,U36)</f>
        <v>34</v>
      </c>
      <c r="J49" s="397" t="str">
        <f>IF($K$5="Deutsch","Total /LE:",IF($K$5="English","Total / HU:",IF($K$5="Français","Cout de l'emballage total:",IF($K$5="Portugues","Custos totals / UT:",IF($K$5="中文","共计/托盘")))))</f>
        <v>Total / HU:</v>
      </c>
      <c r="K49" s="398"/>
      <c r="L49" s="109">
        <f>IF(M36="","",(SUM(L47:L48)))</f>
        <v>65.459999999999994</v>
      </c>
      <c r="M49" s="110" t="str">
        <f>IF($K$5="Deutsch","/ Stk:",IF($K$5="English","/ pcs:",IF($K$5="Français","/ pièce:",IF($K$5="Portugues","/ peça:",IF($K$5="中文","/ pcs")))))</f>
        <v>/ pcs:</v>
      </c>
      <c r="N49" s="111">
        <f>IF($L49="","",((IF(L49&gt;=0,N47+N48,""))))</f>
        <v>2.841145833333333E-2</v>
      </c>
      <c r="O49" s="153"/>
      <c r="P49" s="153"/>
      <c r="Q49" s="153"/>
      <c r="R49" s="153"/>
      <c r="S49" s="153"/>
      <c r="T49" s="359"/>
      <c r="U49" s="359"/>
      <c r="V49" s="359"/>
      <c r="W49" s="359"/>
      <c r="X49" s="359"/>
      <c r="Y49" s="153"/>
      <c r="Z49" s="153"/>
      <c r="AA49" s="153"/>
      <c r="AB49" s="153"/>
      <c r="AC49" s="153"/>
      <c r="AD49" s="153"/>
      <c r="AE49" s="153"/>
      <c r="AF49" s="153"/>
      <c r="AG49" s="153"/>
      <c r="AH49" s="153"/>
      <c r="AI49" s="153"/>
      <c r="AJ49" s="153"/>
      <c r="AK49" s="153"/>
      <c r="AL49" s="153"/>
      <c r="AM49" s="153"/>
      <c r="AN49" s="153"/>
      <c r="AO49" s="153"/>
      <c r="AP49" s="153"/>
      <c r="AQ49" s="153"/>
      <c r="AR49" s="153"/>
      <c r="AS49" s="153"/>
      <c r="AT49" s="153"/>
      <c r="AU49" s="153"/>
      <c r="AV49" s="153"/>
      <c r="AW49" s="153"/>
      <c r="AX49" s="153"/>
      <c r="AY49" s="153"/>
    </row>
    <row r="50" spans="1:51" ht="24.75" customHeight="1" thickBot="1" x14ac:dyDescent="0.25">
      <c r="B50" s="24"/>
      <c r="C50" s="25"/>
      <c r="D50" s="26"/>
      <c r="E50" s="169"/>
      <c r="F50" s="169"/>
      <c r="G50" s="169"/>
      <c r="H50" s="169"/>
      <c r="I50" s="27"/>
      <c r="J50" s="28"/>
      <c r="K50" s="28"/>
      <c r="L50" s="4"/>
      <c r="M50" s="29"/>
      <c r="N50" s="5"/>
      <c r="O50" s="153"/>
      <c r="P50" s="153"/>
      <c r="Q50" s="153"/>
      <c r="R50" s="153"/>
      <c r="S50" s="153"/>
      <c r="T50" s="153"/>
      <c r="U50" s="153"/>
      <c r="V50" s="153"/>
      <c r="W50" s="153"/>
      <c r="X50" s="153"/>
      <c r="Y50" s="153"/>
      <c r="Z50" s="153"/>
      <c r="AA50" s="153"/>
      <c r="AB50" s="153"/>
      <c r="AC50" s="153"/>
      <c r="AD50" s="153"/>
      <c r="AE50" s="153"/>
      <c r="AF50" s="153"/>
      <c r="AG50" s="153"/>
      <c r="AH50" s="153"/>
      <c r="AI50" s="153"/>
      <c r="AJ50" s="153"/>
      <c r="AK50" s="153"/>
      <c r="AL50" s="153"/>
      <c r="AM50" s="153"/>
      <c r="AN50" s="153"/>
      <c r="AO50" s="153"/>
      <c r="AP50" s="153"/>
      <c r="AQ50" s="153"/>
      <c r="AR50" s="153"/>
      <c r="AS50" s="153"/>
      <c r="AT50" s="153"/>
      <c r="AU50" s="153"/>
      <c r="AV50" s="153"/>
      <c r="AW50" s="153"/>
      <c r="AX50" s="153"/>
      <c r="AY50" s="153"/>
    </row>
    <row r="51" spans="1:51" ht="16.5" thickBot="1" x14ac:dyDescent="0.25">
      <c r="B51" s="419" t="str">
        <f>IF($K$5="Deutsch","Mehrwegverpackung",IF($K$5="English","Returnable dunnage",IF($K$5="Français","Couts d'emballage au prorata / composants",IF($K$5="Portugues","Embalagem reutilisável",IF($K$5="中文","周转包装")))))</f>
        <v>Returnable dunnage</v>
      </c>
      <c r="C51" s="420"/>
      <c r="D51" s="420"/>
      <c r="E51" s="420"/>
      <c r="F51" s="420"/>
      <c r="G51" s="420"/>
      <c r="H51" s="420"/>
      <c r="I51" s="420"/>
      <c r="J51" s="420"/>
      <c r="K51" s="420"/>
      <c r="L51" s="420"/>
      <c r="M51" s="420"/>
      <c r="N51" s="421"/>
      <c r="O51" s="152"/>
      <c r="P51" s="153"/>
      <c r="Q51" s="153"/>
      <c r="R51" s="153"/>
      <c r="S51" s="153"/>
      <c r="T51" s="358" t="s">
        <v>82</v>
      </c>
      <c r="U51" s="359"/>
      <c r="V51" s="359"/>
      <c r="W51" s="359"/>
      <c r="X51" s="359"/>
      <c r="Y51" s="153"/>
      <c r="Z51" s="153"/>
      <c r="AA51" s="153"/>
      <c r="AB51" s="153"/>
      <c r="AC51" s="153"/>
      <c r="AD51" s="153"/>
      <c r="AE51" s="153"/>
      <c r="AF51" s="153"/>
      <c r="AG51" s="153"/>
      <c r="AH51" s="153"/>
      <c r="AI51" s="153"/>
      <c r="AJ51" s="153"/>
      <c r="AK51" s="153"/>
      <c r="AL51" s="153"/>
      <c r="AM51" s="153"/>
      <c r="AN51" s="153"/>
      <c r="AO51" s="153"/>
      <c r="AP51" s="153"/>
      <c r="AQ51" s="153"/>
      <c r="AR51" s="153"/>
      <c r="AS51" s="153"/>
      <c r="AT51" s="153"/>
      <c r="AU51" s="153"/>
      <c r="AV51" s="153"/>
      <c r="AW51" s="153"/>
      <c r="AX51" s="153"/>
      <c r="AY51" s="153"/>
    </row>
    <row r="52" spans="1:51" ht="25.5" customHeight="1" thickBot="1" x14ac:dyDescent="0.25">
      <c r="B52" s="45" t="str">
        <f>IF($K$5="Deutsch","Werkzeugkosten Verpackung:",IF($K$5="English","Tooling costs Packaging:",IF($K$5="Français","Coût outillage d'emballage:",IF($K$5="Portugues","Custo do ferramental de embalagem:",IF($K$5="中文","包装工具成本：")))))</f>
        <v>Tooling costs Packaging:</v>
      </c>
      <c r="C52" s="46" t="str">
        <f>N34</f>
        <v>EUR</v>
      </c>
      <c r="D52" s="204">
        <v>0</v>
      </c>
      <c r="E52" s="511" t="str">
        <f>IF($K$5="Deutsch","Amortisation (Jahre):",IF($K$5="English","Amortisation time (yrs.):",IF($K$5="Français","L'amortissement (années):",IF($K$5="Portugues","Tempo de amortização (anos):",IF($K$5="中文","周转时间（年）")))))</f>
        <v>Amortisation time (yrs.):</v>
      </c>
      <c r="F52" s="512"/>
      <c r="G52" s="300">
        <f>IF(J29="","",(IF(($J$29*$J$26)&lt;1,0,($J$29*$J$26)/J29)))</f>
        <v>3</v>
      </c>
      <c r="H52" s="301"/>
      <c r="I52" s="313"/>
      <c r="J52" s="375" t="str">
        <f>IF($K$5="Deutsch","Max. Verpackungsinvest/Jahr",IF($K$5="English","Max. packaging invest/year",IF($K$5="Français"," Investissement max. par an pour l'emballage",IF($K$5="Portugues","Max. emabalagem invest/ano",IF($K$5="中文","每年包装的最大投资量")))))</f>
        <v>Max. packaging invest/year</v>
      </c>
      <c r="K52" s="317"/>
      <c r="L52" s="303"/>
      <c r="M52" s="303"/>
      <c r="N52" s="376"/>
      <c r="O52" s="152"/>
      <c r="P52" s="153"/>
      <c r="Q52" s="153"/>
      <c r="R52" s="153"/>
      <c r="S52" s="153"/>
      <c r="T52" s="359"/>
      <c r="U52" s="359"/>
      <c r="V52" s="359"/>
      <c r="W52" s="359"/>
      <c r="X52" s="359"/>
      <c r="Y52" s="153"/>
      <c r="Z52" s="153"/>
      <c r="AA52" s="153"/>
      <c r="AB52" s="153"/>
      <c r="AC52" s="153"/>
      <c r="AD52" s="153"/>
      <c r="AE52" s="153"/>
      <c r="AF52" s="153"/>
      <c r="AG52" s="153"/>
      <c r="AH52" s="153"/>
      <c r="AI52" s="153"/>
      <c r="AJ52" s="153"/>
      <c r="AK52" s="153"/>
      <c r="AL52" s="153"/>
      <c r="AM52" s="153"/>
      <c r="AN52" s="153"/>
      <c r="AO52" s="153"/>
      <c r="AP52" s="153"/>
      <c r="AQ52" s="153"/>
      <c r="AR52" s="153"/>
      <c r="AS52" s="153"/>
      <c r="AT52" s="153"/>
      <c r="AU52" s="153"/>
      <c r="AV52" s="153"/>
      <c r="AW52" s="153"/>
      <c r="AX52" s="153"/>
      <c r="AY52" s="153"/>
    </row>
    <row r="53" spans="1:51" ht="21.75" customHeight="1" thickBot="1" x14ac:dyDescent="0.25">
      <c r="B53" s="285" t="str">
        <f>IF($K$5="Deutsch","Arbeitstage (Jahr):",IF($K$5="English","Working days (year):",IF($K$5="Français","Nombre de jours travaillés (par an) :",IF($K$5="Portugues","Dias trabalhados (ano)::",IF($K$5="中文","包装使用天数/年:")))))</f>
        <v>Working days (year):</v>
      </c>
      <c r="C53" s="286"/>
      <c r="D53" s="101">
        <f>VLOOKUP(B6,Z10:AC19,2,FALSE)</f>
        <v>240</v>
      </c>
      <c r="E53" s="511" t="str">
        <f>IF($K$5="Deutsch","Zinssatz (%):",IF($K$5="English","Interest (%):",IF($K$5="Français","Intérets (%)::",IF($K$5="Portugues","Jinos (%):",IF($K$5="中文","利率（%）")))))</f>
        <v>Interest (%):</v>
      </c>
      <c r="F53" s="512"/>
      <c r="G53" s="373"/>
      <c r="H53" s="374"/>
      <c r="I53" s="314"/>
      <c r="J53" s="289" t="str">
        <f>IF($K$5="Deutsch","ohne Verzinsung:",IF($K$5="English","without interest:",IF($K$5="Français","sans intérets:",IF($K$5="Portugues","sen junos:",IF($K$5="中文","无利息")))))</f>
        <v>without interest:</v>
      </c>
      <c r="K53" s="290"/>
      <c r="L53" s="70" t="str">
        <f>IF($K$5="Deutsch","Währung",IF($K$5="English","Currency",IF($K$5="Français","Devise:",IF($K$5="Portugues","Moeda",IF($K$5="中文","币种")))))</f>
        <v>Currency</v>
      </c>
      <c r="M53" s="519" t="str">
        <f>IF($K$5="Deutsch","mit Verzinsung:",IF($K$5="English","with interest:",IF($K$5="Français","avec intérets:",IF($K$5="Portugues","com jinos:",IF($K$5="中文","有利息")))))</f>
        <v>with interest:</v>
      </c>
      <c r="N53" s="520"/>
      <c r="O53" s="153"/>
      <c r="P53" s="153"/>
      <c r="Q53" s="153"/>
      <c r="R53" s="153"/>
      <c r="S53" s="153"/>
      <c r="T53" s="359"/>
      <c r="U53" s="359"/>
      <c r="V53" s="359"/>
      <c r="W53" s="359"/>
      <c r="X53" s="359"/>
      <c r="Y53" s="153"/>
      <c r="Z53" s="153"/>
      <c r="AA53" s="153"/>
      <c r="AB53" s="153"/>
      <c r="AC53" s="153"/>
      <c r="AD53" s="153"/>
      <c r="AE53" s="153"/>
      <c r="AF53" s="153"/>
      <c r="AG53" s="153"/>
      <c r="AH53" s="153"/>
      <c r="AI53" s="153"/>
      <c r="AJ53" s="153"/>
      <c r="AK53" s="153"/>
      <c r="AL53" s="153"/>
      <c r="AM53" s="153"/>
      <c r="AN53" s="153"/>
      <c r="AO53" s="153"/>
      <c r="AP53" s="153"/>
      <c r="AQ53" s="153"/>
      <c r="AR53" s="153"/>
      <c r="AS53" s="153"/>
      <c r="AT53" s="153"/>
      <c r="AU53" s="153"/>
      <c r="AV53" s="153"/>
      <c r="AW53" s="153"/>
      <c r="AX53" s="153"/>
      <c r="AY53" s="153"/>
    </row>
    <row r="54" spans="1:51" ht="13.5" thickBot="1" x14ac:dyDescent="0.25">
      <c r="B54" s="505" t="str">
        <f>IF($K$5="Deutsch","Bedarf Mehrwegverpackung (in Tagen):",IF($K$5="English","Demand Returnable dunnage (days):",IF($K$5="Français","Besoins en emballage réutilisable (jours):",IF($K$5="Portugues","Requer embalagem reutilisavel (dias):",IF($K$5="中文","周转时间（天）：")))))</f>
        <v>Demand Returnable dunnage (days):</v>
      </c>
      <c r="C54" s="506"/>
      <c r="D54" s="102">
        <f>VLOOKUP(B6,Z10:AC19,4,FALSE)</f>
        <v>20</v>
      </c>
      <c r="E54" s="507" t="str">
        <f>IF($K$5="Deutsch","entspricht HU (Stk.):",IF($K$5="English","equates HU (pcs.):",IF($K$5="Français","correspond à (pcs):",IF($K$5="Portugues","corresponde  HU (pcs.):",IF($K$5="中文","折合每包装单元（pcs）")))))</f>
        <v>equates HU (pcs.):</v>
      </c>
      <c r="F54" s="508"/>
      <c r="G54" s="513">
        <f>IF($D53=0,"",IF(M32&gt;0,(ROUNDUP((D54*(MAX(MAX(J27:J30),MAX(L27:L30)))/D53/M32),0)),0))</f>
        <v>6</v>
      </c>
      <c r="H54" s="514"/>
      <c r="I54" s="314"/>
      <c r="J54" s="515">
        <f>IF($G54="","",($G$54*$L$49+$D$52))</f>
        <v>392.76</v>
      </c>
      <c r="K54" s="516"/>
      <c r="L54" s="71" t="str">
        <f>IF($G54="","",(IF($N$34="","",N34)))</f>
        <v>EUR</v>
      </c>
      <c r="M54" s="371">
        <f>IF($G54="","",IF($J$29&gt;0,(-(PMT($G$53,$G$52,$J$54))*$G$52),0))</f>
        <v>392.76</v>
      </c>
      <c r="N54" s="372"/>
      <c r="O54" s="153"/>
      <c r="P54" s="153"/>
      <c r="Q54" s="153"/>
      <c r="R54" s="153"/>
      <c r="S54" s="153"/>
      <c r="T54" s="359"/>
      <c r="U54" s="359"/>
      <c r="V54" s="359"/>
      <c r="W54" s="359"/>
      <c r="X54" s="359"/>
      <c r="Y54" s="153"/>
      <c r="Z54" s="153"/>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153"/>
      <c r="AY54" s="153"/>
    </row>
    <row r="55" spans="1:51" ht="13.5" thickBot="1" x14ac:dyDescent="0.25">
      <c r="B55" s="509" t="str">
        <f>IF($K$5="Deutsch","Schwund / Defekte (%):",IF($K$5="English","Diminished / Defects (%):",IF($K$5="Français","Pertes, défauts:",IF($K$5="Portugues","Redução / Defeitos (%):",IF($K$5="中文","破损率（%）：")))))</f>
        <v>Diminished / Defects (%):</v>
      </c>
      <c r="C55" s="510"/>
      <c r="D55" s="151">
        <f>VLOOKUP(B6,Z10:AC19,3,FALSE)</f>
        <v>0.03</v>
      </c>
      <c r="E55" s="291" t="str">
        <f>IF($K$5="Deutsch","entspricht HU (Stk.):",IF($K$5="English","equates HU (pcs.):",IF($K$5="Français","correspond à (pcs):",IF($K$5="Portugues","corresponde  HU (pcs.):",IF($K$5="中文","折合每包装单元（pcs）")))))</f>
        <v>equates HU (pcs.):</v>
      </c>
      <c r="F55" s="292"/>
      <c r="G55" s="517">
        <f>IF($D53=0,"",IF(M33&gt;0,(ROUNDUP(((D54*(MAX(MAX(J27:J30),MAX(L27:L30)))/D53/M32)*(D55))*J26,0)),0))</f>
        <v>1</v>
      </c>
      <c r="H55" s="518"/>
      <c r="I55" s="315"/>
      <c r="J55" s="319">
        <f>IF($G55="","",$G$55*$L$49)</f>
        <v>65.459999999999994</v>
      </c>
      <c r="K55" s="320"/>
      <c r="L55" s="72" t="str">
        <f>IF($G55="","",(IF($N$34="","",N34)))</f>
        <v>EUR</v>
      </c>
      <c r="M55" s="287">
        <f>IF($G55="","",IF($J$29&gt;0,(-(PMT($G$53,$G$52,$J$55))*$G$52),0))</f>
        <v>65.459999999999994</v>
      </c>
      <c r="N55" s="288"/>
      <c r="O55" s="153"/>
      <c r="P55" s="153"/>
      <c r="Q55" s="153"/>
      <c r="R55" s="153"/>
      <c r="S55" s="153"/>
      <c r="T55" s="153"/>
      <c r="U55" s="153"/>
      <c r="V55" s="153"/>
      <c r="W55" s="153"/>
      <c r="X55" s="153"/>
      <c r="Y55" s="153"/>
      <c r="Z55" s="153"/>
      <c r="AA55" s="153"/>
      <c r="AB55" s="153"/>
      <c r="AC55" s="153"/>
      <c r="AD55" s="153"/>
      <c r="AE55" s="153"/>
      <c r="AF55" s="153"/>
      <c r="AG55" s="153"/>
      <c r="AH55" s="153"/>
      <c r="AI55" s="153"/>
      <c r="AJ55" s="153"/>
      <c r="AK55" s="153"/>
      <c r="AL55" s="153"/>
      <c r="AM55" s="153"/>
      <c r="AN55" s="153"/>
      <c r="AO55" s="153"/>
      <c r="AP55" s="153"/>
      <c r="AQ55" s="153"/>
      <c r="AR55" s="153"/>
      <c r="AS55" s="153"/>
      <c r="AT55" s="153"/>
      <c r="AU55" s="153"/>
      <c r="AV55" s="153"/>
      <c r="AW55" s="153"/>
      <c r="AX55" s="153"/>
      <c r="AY55" s="153"/>
    </row>
    <row r="56" spans="1:51" ht="13.5" thickBot="1" x14ac:dyDescent="0.25">
      <c r="B56" s="76"/>
      <c r="C56" s="77"/>
      <c r="D56" s="78"/>
      <c r="E56" s="73"/>
      <c r="F56" s="74"/>
      <c r="G56" s="79"/>
      <c r="H56" s="80"/>
      <c r="I56" s="81"/>
      <c r="J56" s="298">
        <f>IF(J54="","",(SUM(J54,J55)))</f>
        <v>458.21999999999997</v>
      </c>
      <c r="K56" s="299"/>
      <c r="L56" s="69" t="str">
        <f>IF($G54="","",(IF($N$34="","",N34)))</f>
        <v>EUR</v>
      </c>
      <c r="M56" s="298">
        <f>IF(M54="","",SUM(M54,M55))</f>
        <v>458.21999999999997</v>
      </c>
      <c r="N56" s="521"/>
      <c r="O56" s="153"/>
      <c r="P56" s="153"/>
      <c r="Q56" s="153"/>
      <c r="R56" s="153"/>
      <c r="S56" s="153"/>
      <c r="T56" s="153"/>
      <c r="U56" s="153"/>
      <c r="V56" s="153"/>
      <c r="W56" s="153"/>
      <c r="X56" s="153"/>
      <c r="Y56" s="153"/>
      <c r="Z56" s="153"/>
      <c r="AA56" s="153"/>
      <c r="AB56" s="153"/>
      <c r="AC56" s="153"/>
      <c r="AD56" s="153"/>
      <c r="AE56" s="153"/>
      <c r="AF56" s="153"/>
      <c r="AG56" s="153"/>
      <c r="AH56" s="153"/>
      <c r="AI56" s="153"/>
      <c r="AJ56" s="153"/>
      <c r="AK56" s="153"/>
      <c r="AL56" s="153"/>
      <c r="AM56" s="153"/>
      <c r="AN56" s="153"/>
      <c r="AO56" s="153"/>
      <c r="AP56" s="153"/>
      <c r="AQ56" s="153"/>
      <c r="AR56" s="153"/>
      <c r="AS56" s="153"/>
      <c r="AT56" s="153"/>
      <c r="AU56" s="153"/>
      <c r="AV56" s="153"/>
      <c r="AW56" s="153"/>
      <c r="AX56" s="153"/>
      <c r="AY56" s="153"/>
    </row>
    <row r="57" spans="1:51" ht="25.5" customHeight="1" thickBot="1" x14ac:dyDescent="0.25">
      <c r="A57" s="10"/>
      <c r="B57" s="170"/>
      <c r="C57" s="10"/>
      <c r="D57" s="125"/>
      <c r="E57" s="75"/>
      <c r="F57" s="75"/>
      <c r="G57" s="53"/>
      <c r="H57" s="54"/>
      <c r="I57" s="126"/>
      <c r="J57" s="55"/>
      <c r="K57" s="55"/>
      <c r="L57" s="29"/>
      <c r="M57" s="56"/>
      <c r="N57" s="127"/>
      <c r="O57" s="152"/>
      <c r="P57" s="153"/>
      <c r="Q57" s="153"/>
      <c r="R57" s="153"/>
      <c r="S57" s="153"/>
      <c r="T57" s="153"/>
      <c r="U57" s="153"/>
      <c r="V57" s="153"/>
      <c r="W57" s="153"/>
      <c r="X57" s="153"/>
      <c r="Y57" s="153"/>
      <c r="Z57" s="153"/>
      <c r="AA57" s="153"/>
      <c r="AB57" s="153"/>
      <c r="AC57" s="153"/>
      <c r="AD57" s="153"/>
      <c r="AE57" s="153"/>
      <c r="AF57" s="153"/>
      <c r="AG57" s="153"/>
      <c r="AH57" s="153"/>
      <c r="AI57" s="153"/>
      <c r="AJ57" s="153"/>
      <c r="AK57" s="153"/>
      <c r="AL57" s="153"/>
      <c r="AM57" s="153"/>
      <c r="AN57" s="153"/>
      <c r="AO57" s="153"/>
      <c r="AP57" s="153"/>
      <c r="AQ57" s="153"/>
      <c r="AR57" s="153"/>
      <c r="AS57" s="153"/>
      <c r="AT57" s="153"/>
      <c r="AU57" s="153"/>
      <c r="AV57" s="153"/>
      <c r="AW57" s="153"/>
      <c r="AX57" s="153"/>
      <c r="AY57" s="153"/>
    </row>
    <row r="58" spans="1:51" ht="25.5" customHeight="1" thickBot="1" x14ac:dyDescent="0.25">
      <c r="B58" s="85" t="str">
        <f>B34</f>
        <v>Designation/description           packaging components:</v>
      </c>
      <c r="C58" s="68" t="str">
        <f>K34</f>
        <v>Number / HU</v>
      </c>
      <c r="D58" s="86" t="str">
        <f>D34</f>
        <v>1= OneWay 2=Returnable</v>
      </c>
      <c r="E58" s="475" t="str">
        <f>IF($K$5="Deutsch","Kommentare",IF($K$5="English","Comments",IF($K$5="Français","Commentaire",IF($K$5="Portugues","Comentários",IF($K$5="中文","注释")))))</f>
        <v>Comments</v>
      </c>
      <c r="F58" s="476"/>
      <c r="G58" s="476"/>
      <c r="H58" s="476"/>
      <c r="I58" s="477"/>
      <c r="J58" s="316" t="str">
        <f>IF($K$5="Deutsch","Freigabe Verpackung",IF($K$5="English","Release Packaging",IF($K$5="Français","Acceptation de l'emballage",IF($K$5="Portugues","Liberação da embalagem ",IF($K$5="中文","包装许可")))))</f>
        <v>Release Packaging</v>
      </c>
      <c r="K58" s="317"/>
      <c r="L58" s="317"/>
      <c r="M58" s="317"/>
      <c r="N58" s="318"/>
      <c r="O58" s="153"/>
      <c r="P58" s="153"/>
      <c r="Q58" s="153"/>
      <c r="R58" s="153"/>
      <c r="S58" s="153"/>
      <c r="T58" s="153"/>
      <c r="U58" s="153"/>
      <c r="V58" s="153"/>
      <c r="W58" s="153"/>
      <c r="X58" s="153"/>
      <c r="Y58" s="153"/>
      <c r="Z58" s="153"/>
      <c r="AA58" s="153"/>
      <c r="AB58" s="153"/>
      <c r="AC58" s="153"/>
      <c r="AD58" s="153"/>
      <c r="AE58" s="153"/>
      <c r="AF58" s="153"/>
      <c r="AG58" s="153"/>
      <c r="AH58" s="153"/>
      <c r="AI58" s="153"/>
      <c r="AJ58" s="153"/>
      <c r="AK58" s="153"/>
      <c r="AL58" s="153"/>
      <c r="AM58" s="153"/>
      <c r="AN58" s="153"/>
      <c r="AO58" s="153"/>
      <c r="AP58" s="153"/>
      <c r="AQ58" s="153"/>
      <c r="AR58" s="153"/>
      <c r="AS58" s="153"/>
      <c r="AT58" s="153"/>
      <c r="AU58" s="153"/>
      <c r="AV58" s="153"/>
      <c r="AW58" s="153"/>
      <c r="AX58" s="153"/>
      <c r="AY58" s="153"/>
    </row>
    <row r="59" spans="1:51" ht="24" customHeight="1" x14ac:dyDescent="0.25">
      <c r="B59" s="65" t="str">
        <f>IF(B36="","",B36)</f>
        <v>U-PAL U  Plastic</v>
      </c>
      <c r="C59" s="66">
        <f>IF(K36="","",K36)</f>
        <v>1</v>
      </c>
      <c r="D59" s="67">
        <f>IF(D36="","",D36)</f>
        <v>2</v>
      </c>
      <c r="E59" s="484" t="str">
        <f>IF(K5="Deutsch",T51,T46)</f>
        <v xml:space="preserve">1. One cardboard box / returnable container should not exceed 15 kg/33 lb total weight when filled.
2. Labelling according to TK-Presta Labelling Guideline.
3. Outside storage of packaging material not permitted.
4. Disposable packaging shall be provided by supplier. 
5. Logistics specification, latest version, is to be applied unless exception clearly stated in this packaging data sheet.
6. Final quantity and nomination is communicated by the purchasing department.                                                  </v>
      </c>
      <c r="F59" s="485"/>
      <c r="G59" s="485"/>
      <c r="H59" s="485"/>
      <c r="I59" s="486"/>
      <c r="J59" s="217" t="str">
        <f>IF($K$5="Deutsch","Freigabe Extern",IF($K$5="English","External Release",IF($K$5="Français","Signature Externe",IF($K$5="Portugues","Liberação externa ",IF($K$5="中文","外部许可",IF($K$5="हिन्दी","बाहरी रिलीज"))))))</f>
        <v>External Release</v>
      </c>
      <c r="K59" s="295" t="str">
        <f>IF($K$5="Deutsch","Lieferant/Kunde",IF($K$5="English","Supplier/Customer",IF($K$5="Français","Fournissuer/Données:",IF($K$5="Portugues","Fornecedor / Cliente",IF($K$5="中文","供应商/客户",IF($K$5="हिन्दी","प्रदायक / ग्राहक"))))))</f>
        <v>Supplier/Customer</v>
      </c>
      <c r="L59" s="296"/>
      <c r="M59" s="296"/>
      <c r="N59" s="297"/>
      <c r="O59" s="153"/>
      <c r="P59" s="153"/>
      <c r="Q59" s="153"/>
      <c r="R59" s="153"/>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row>
    <row r="60" spans="1:51" ht="22.5" customHeight="1" x14ac:dyDescent="0.2">
      <c r="B60" s="42" t="str">
        <f t="shared" ref="B60:B68" si="4">IF(B37="","",B37)</f>
        <v>RL-KLT 4147</v>
      </c>
      <c r="C60" s="44">
        <f t="shared" ref="C60:C68" si="5">IF(K37="","",K37)</f>
        <v>48</v>
      </c>
      <c r="D60" s="47">
        <f t="shared" ref="D60:D68" si="6">IF(D37="","",D37)</f>
        <v>2</v>
      </c>
      <c r="E60" s="487"/>
      <c r="F60" s="488"/>
      <c r="G60" s="488"/>
      <c r="H60" s="488"/>
      <c r="I60" s="489"/>
      <c r="J60" s="222"/>
      <c r="K60" s="572"/>
      <c r="L60" s="575"/>
      <c r="M60" s="576"/>
      <c r="N60" s="577"/>
      <c r="O60" s="153"/>
      <c r="P60" s="153"/>
      <c r="Q60" s="153"/>
      <c r="R60" s="153"/>
      <c r="S60" s="153"/>
      <c r="T60" s="153"/>
      <c r="U60" s="153"/>
      <c r="V60" s="153"/>
      <c r="W60" s="153"/>
      <c r="X60" s="153"/>
      <c r="Y60" s="153"/>
      <c r="Z60" s="153"/>
      <c r="AA60" s="153"/>
      <c r="AB60" s="153"/>
      <c r="AC60" s="153"/>
      <c r="AD60" s="153"/>
      <c r="AE60" s="153"/>
      <c r="AF60" s="153"/>
      <c r="AG60" s="153"/>
      <c r="AH60" s="153"/>
      <c r="AI60" s="153"/>
      <c r="AJ60" s="153"/>
      <c r="AK60" s="153"/>
      <c r="AL60" s="153"/>
      <c r="AM60" s="153"/>
      <c r="AN60" s="153"/>
      <c r="AO60" s="153"/>
      <c r="AP60" s="153"/>
      <c r="AQ60" s="153"/>
      <c r="AR60" s="153"/>
      <c r="AS60" s="153"/>
      <c r="AT60" s="153"/>
      <c r="AU60" s="153"/>
      <c r="AV60" s="153"/>
      <c r="AW60" s="153"/>
      <c r="AX60" s="153"/>
      <c r="AY60" s="153"/>
    </row>
    <row r="61" spans="1:51" ht="21.95" customHeight="1" x14ac:dyDescent="0.2">
      <c r="B61" s="42" t="str">
        <f t="shared" si="4"/>
        <v>Cover U-PAL</v>
      </c>
      <c r="C61" s="44">
        <f t="shared" si="5"/>
        <v>1</v>
      </c>
      <c r="D61" s="47">
        <f t="shared" si="6"/>
        <v>2</v>
      </c>
      <c r="E61" s="487"/>
      <c r="F61" s="488"/>
      <c r="G61" s="488"/>
      <c r="H61" s="488"/>
      <c r="I61" s="489"/>
      <c r="J61" s="222"/>
      <c r="K61" s="573"/>
      <c r="L61" s="578"/>
      <c r="M61" s="579"/>
      <c r="N61" s="580"/>
      <c r="O61" s="153"/>
      <c r="P61" s="153"/>
      <c r="Q61" s="153"/>
      <c r="R61" s="153"/>
      <c r="S61" s="153"/>
      <c r="T61" s="153"/>
      <c r="U61" s="153"/>
      <c r="V61" s="153"/>
      <c r="W61" s="153"/>
      <c r="X61" s="153"/>
      <c r="Y61" s="153"/>
      <c r="Z61" s="153"/>
      <c r="AA61" s="153"/>
      <c r="AB61" s="153"/>
      <c r="AC61" s="153"/>
      <c r="AD61" s="153"/>
      <c r="AE61" s="153"/>
      <c r="AF61" s="153"/>
      <c r="AG61" s="153"/>
      <c r="AH61" s="153"/>
      <c r="AI61" s="153"/>
      <c r="AJ61" s="153"/>
      <c r="AK61" s="153"/>
      <c r="AL61" s="153"/>
      <c r="AM61" s="153"/>
      <c r="AN61" s="153"/>
      <c r="AO61" s="153"/>
      <c r="AP61" s="153"/>
      <c r="AQ61" s="153"/>
      <c r="AR61" s="153"/>
      <c r="AS61" s="153"/>
      <c r="AT61" s="153"/>
      <c r="AU61" s="153"/>
      <c r="AV61" s="153"/>
      <c r="AW61" s="153"/>
      <c r="AX61" s="153"/>
      <c r="AY61" s="153"/>
    </row>
    <row r="62" spans="1:51" ht="21.95" customHeight="1" x14ac:dyDescent="0.2">
      <c r="B62" s="42" t="str">
        <f t="shared" si="4"/>
        <v>Divider</v>
      </c>
      <c r="C62" s="44">
        <f t="shared" si="5"/>
        <v>48</v>
      </c>
      <c r="D62" s="47">
        <f t="shared" si="6"/>
        <v>1</v>
      </c>
      <c r="E62" s="487"/>
      <c r="F62" s="488"/>
      <c r="G62" s="488"/>
      <c r="H62" s="488"/>
      <c r="I62" s="489"/>
      <c r="J62" s="222"/>
      <c r="K62" s="574"/>
      <c r="L62" s="581"/>
      <c r="M62" s="582"/>
      <c r="N62" s="583"/>
      <c r="O62" s="153"/>
      <c r="P62" s="153"/>
      <c r="Q62" s="153"/>
      <c r="R62" s="153"/>
      <c r="S62" s="153"/>
      <c r="T62" s="153"/>
      <c r="U62" s="153"/>
      <c r="V62" s="153"/>
      <c r="W62" s="153"/>
      <c r="X62" s="153"/>
      <c r="Y62" s="153"/>
      <c r="Z62" s="153"/>
      <c r="AA62" s="153"/>
      <c r="AB62" s="153"/>
      <c r="AC62" s="153"/>
      <c r="AD62" s="153"/>
      <c r="AE62" s="153"/>
      <c r="AF62" s="153"/>
      <c r="AG62" s="153"/>
      <c r="AH62" s="153"/>
      <c r="AI62" s="153"/>
      <c r="AJ62" s="153"/>
      <c r="AK62" s="153"/>
      <c r="AL62" s="153"/>
      <c r="AM62" s="153"/>
      <c r="AN62" s="153"/>
      <c r="AO62" s="153"/>
      <c r="AP62" s="153"/>
      <c r="AQ62" s="153"/>
      <c r="AR62" s="153"/>
      <c r="AS62" s="153"/>
      <c r="AT62" s="153"/>
      <c r="AU62" s="153"/>
      <c r="AV62" s="153"/>
      <c r="AW62" s="153"/>
      <c r="AX62" s="153"/>
      <c r="AY62" s="153"/>
    </row>
    <row r="63" spans="1:51" ht="21.95" customHeight="1" thickBot="1" x14ac:dyDescent="0.25">
      <c r="B63" s="42" t="str">
        <f t="shared" si="4"/>
        <v>TK-Presta Label Single</v>
      </c>
      <c r="C63" s="44">
        <f t="shared" si="5"/>
        <v>48</v>
      </c>
      <c r="D63" s="47">
        <f t="shared" si="6"/>
        <v>1</v>
      </c>
      <c r="E63" s="487"/>
      <c r="F63" s="488"/>
      <c r="G63" s="488"/>
      <c r="H63" s="488"/>
      <c r="I63" s="489"/>
      <c r="J63" s="223"/>
      <c r="K63" s="205" t="str">
        <f>IF($K$5="Deutsch","Datum",IF($K$5="English","Date",IF($K$5="Français","Date",IF($K$5="Portugues","Data",IF($K$5="中文"," ")))))</f>
        <v>Date</v>
      </c>
      <c r="L63" s="584"/>
      <c r="M63" s="585"/>
      <c r="N63" s="586"/>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153"/>
      <c r="AY63" s="153"/>
    </row>
    <row r="64" spans="1:51" ht="21.95" customHeight="1" x14ac:dyDescent="0.25">
      <c r="B64" s="42" t="str">
        <f t="shared" si="4"/>
        <v>TK-Presta Label Master</v>
      </c>
      <c r="C64" s="44">
        <f t="shared" si="5"/>
        <v>2</v>
      </c>
      <c r="D64" s="47">
        <f t="shared" si="6"/>
        <v>1</v>
      </c>
      <c r="E64" s="487"/>
      <c r="F64" s="488"/>
      <c r="G64" s="488"/>
      <c r="H64" s="488"/>
      <c r="I64" s="489"/>
      <c r="J64" s="217" t="str">
        <f>IF($K$5="Deutsch","Freigabe Intern",IF($K$5="English","Internal Release",IF($K$5="Français","Signature Interne",IF($K$5="Portugues","Liberação interna ",IF($K$5="中文","内部许可",IF($K$5="हिन्दी","आंतरिक रिलीज"))))))</f>
        <v>Internal Release</v>
      </c>
      <c r="K64" s="295" t="s">
        <v>45</v>
      </c>
      <c r="L64" s="296"/>
      <c r="M64" s="296"/>
      <c r="N64" s="297"/>
      <c r="O64" s="153"/>
      <c r="P64" s="153"/>
      <c r="Q64" s="153"/>
      <c r="R64" s="153"/>
      <c r="S64" s="153"/>
      <c r="T64" s="153"/>
      <c r="U64" s="153"/>
      <c r="V64" s="153"/>
      <c r="W64" s="153"/>
      <c r="X64" s="153"/>
      <c r="Y64" s="153"/>
      <c r="Z64" s="153"/>
      <c r="AA64" s="153"/>
      <c r="AB64" s="153"/>
      <c r="AC64" s="153"/>
      <c r="AD64" s="153"/>
      <c r="AE64" s="153"/>
      <c r="AF64" s="153"/>
      <c r="AG64" s="153"/>
      <c r="AH64" s="153"/>
      <c r="AI64" s="153"/>
      <c r="AJ64" s="153"/>
      <c r="AK64" s="153"/>
      <c r="AL64" s="153"/>
      <c r="AM64" s="153"/>
      <c r="AN64" s="153"/>
      <c r="AO64" s="153"/>
      <c r="AP64" s="153"/>
      <c r="AQ64" s="153"/>
      <c r="AR64" s="153"/>
      <c r="AS64" s="153"/>
      <c r="AT64" s="153"/>
      <c r="AU64" s="153"/>
      <c r="AV64" s="153"/>
      <c r="AW64" s="153"/>
      <c r="AX64" s="153"/>
      <c r="AY64" s="153"/>
    </row>
    <row r="65" spans="1:51" ht="21.95" customHeight="1" x14ac:dyDescent="0.2">
      <c r="B65" s="42" t="str">
        <f t="shared" si="4"/>
        <v>Band</v>
      </c>
      <c r="C65" s="44">
        <f t="shared" si="5"/>
        <v>2</v>
      </c>
      <c r="D65" s="47">
        <f t="shared" si="6"/>
        <v>1</v>
      </c>
      <c r="E65" s="487"/>
      <c r="F65" s="488"/>
      <c r="G65" s="488"/>
      <c r="H65" s="488"/>
      <c r="I65" s="489"/>
      <c r="J65" s="218"/>
      <c r="K65" s="214"/>
      <c r="L65" s="493"/>
      <c r="M65" s="494"/>
      <c r="N65" s="495"/>
      <c r="O65" s="153"/>
      <c r="P65" s="153"/>
      <c r="Q65" s="153"/>
      <c r="R65" s="153"/>
      <c r="S65" s="153"/>
      <c r="T65" s="153"/>
      <c r="U65" s="153"/>
      <c r="V65" s="153"/>
      <c r="W65" s="153"/>
      <c r="X65" s="153"/>
      <c r="Y65" s="153"/>
      <c r="Z65" s="153"/>
      <c r="AA65" s="153"/>
      <c r="AB65" s="153"/>
      <c r="AC65" s="153"/>
      <c r="AD65" s="153"/>
      <c r="AE65" s="153"/>
      <c r="AF65" s="153"/>
      <c r="AG65" s="153"/>
      <c r="AH65" s="153"/>
      <c r="AI65" s="153"/>
      <c r="AJ65" s="153"/>
      <c r="AK65" s="153"/>
      <c r="AL65" s="153"/>
      <c r="AM65" s="153"/>
      <c r="AN65" s="153"/>
      <c r="AO65" s="153"/>
      <c r="AP65" s="153"/>
      <c r="AQ65" s="153"/>
      <c r="AR65" s="153"/>
      <c r="AS65" s="153"/>
      <c r="AT65" s="153"/>
      <c r="AU65" s="153"/>
      <c r="AV65" s="153"/>
      <c r="AW65" s="153"/>
      <c r="AX65" s="153"/>
      <c r="AY65" s="153"/>
    </row>
    <row r="66" spans="1:51" ht="21.95" customHeight="1" x14ac:dyDescent="0.2">
      <c r="B66" s="42" t="str">
        <f t="shared" si="4"/>
        <v>CTX Paper</v>
      </c>
      <c r="C66" s="44">
        <f t="shared" si="5"/>
        <v>48</v>
      </c>
      <c r="D66" s="47">
        <f t="shared" si="6"/>
        <v>1</v>
      </c>
      <c r="E66" s="487"/>
      <c r="F66" s="488"/>
      <c r="G66" s="488"/>
      <c r="H66" s="488"/>
      <c r="I66" s="489"/>
      <c r="J66" s="218"/>
      <c r="K66" s="215"/>
      <c r="L66" s="496"/>
      <c r="M66" s="497"/>
      <c r="N66" s="498"/>
      <c r="O66" s="153"/>
      <c r="P66" s="153"/>
      <c r="Q66" s="153"/>
      <c r="R66" s="153"/>
      <c r="S66" s="153"/>
      <c r="T66" s="153"/>
      <c r="U66" s="153"/>
      <c r="V66" s="153"/>
      <c r="W66" s="153"/>
      <c r="X66" s="153"/>
      <c r="Y66" s="153"/>
      <c r="Z66" s="153"/>
      <c r="AA66" s="153"/>
      <c r="AB66" s="153"/>
      <c r="AC66" s="153"/>
      <c r="AD66" s="153"/>
      <c r="AE66" s="153"/>
      <c r="AF66" s="153"/>
      <c r="AG66" s="153"/>
      <c r="AH66" s="153"/>
      <c r="AI66" s="153"/>
      <c r="AJ66" s="153"/>
      <c r="AK66" s="153"/>
      <c r="AL66" s="153"/>
      <c r="AM66" s="153"/>
      <c r="AN66" s="153"/>
      <c r="AO66" s="153"/>
      <c r="AP66" s="153"/>
      <c r="AQ66" s="153"/>
      <c r="AR66" s="153"/>
      <c r="AS66" s="153"/>
      <c r="AT66" s="153"/>
      <c r="AU66" s="153"/>
      <c r="AV66" s="153"/>
      <c r="AW66" s="153"/>
      <c r="AX66" s="153"/>
      <c r="AY66" s="153"/>
    </row>
    <row r="67" spans="1:51" ht="21.95" customHeight="1" x14ac:dyDescent="0.2">
      <c r="B67" s="42" t="str">
        <f t="shared" si="4"/>
        <v/>
      </c>
      <c r="C67" s="44" t="str">
        <f t="shared" si="5"/>
        <v/>
      </c>
      <c r="D67" s="47" t="str">
        <f t="shared" si="6"/>
        <v/>
      </c>
      <c r="E67" s="487"/>
      <c r="F67" s="488"/>
      <c r="G67" s="488"/>
      <c r="H67" s="488"/>
      <c r="I67" s="489"/>
      <c r="J67" s="218"/>
      <c r="K67" s="216"/>
      <c r="L67" s="499"/>
      <c r="M67" s="500"/>
      <c r="N67" s="501"/>
      <c r="O67" s="153"/>
      <c r="P67" s="153"/>
      <c r="Q67" s="153"/>
      <c r="R67" s="153"/>
      <c r="S67" s="153"/>
      <c r="T67" s="153"/>
      <c r="U67" s="153"/>
      <c r="V67" s="153"/>
      <c r="W67" s="153"/>
      <c r="X67" s="153"/>
      <c r="Y67" s="153"/>
      <c r="Z67" s="153"/>
      <c r="AA67" s="153"/>
      <c r="AB67" s="153"/>
      <c r="AC67" s="153"/>
      <c r="AD67" s="153"/>
      <c r="AE67" s="153"/>
      <c r="AF67" s="153"/>
      <c r="AG67" s="153"/>
      <c r="AH67" s="153"/>
      <c r="AI67" s="153"/>
      <c r="AJ67" s="153"/>
      <c r="AK67" s="153"/>
      <c r="AL67" s="153"/>
      <c r="AM67" s="153"/>
      <c r="AN67" s="153"/>
      <c r="AO67" s="153"/>
      <c r="AP67" s="153"/>
      <c r="AQ67" s="153"/>
      <c r="AR67" s="153"/>
      <c r="AS67" s="153"/>
      <c r="AT67" s="153"/>
      <c r="AU67" s="153"/>
      <c r="AV67" s="153"/>
      <c r="AW67" s="153"/>
      <c r="AX67" s="153"/>
      <c r="AY67" s="153"/>
    </row>
    <row r="68" spans="1:51" ht="21.95" customHeight="1" thickBot="1" x14ac:dyDescent="0.25">
      <c r="B68" s="43" t="str">
        <f t="shared" si="4"/>
        <v/>
      </c>
      <c r="C68" s="57" t="str">
        <f t="shared" si="5"/>
        <v/>
      </c>
      <c r="D68" s="58" t="str">
        <f t="shared" si="6"/>
        <v/>
      </c>
      <c r="E68" s="490"/>
      <c r="F68" s="491"/>
      <c r="G68" s="491"/>
      <c r="H68" s="491"/>
      <c r="I68" s="492"/>
      <c r="J68" s="219"/>
      <c r="K68" s="38" t="str">
        <f>IF($K$5="Deutsch","Datum",IF($K$5="English","Date",IF($K$5="Français","Date",IF($K$5="Portugues","Data",IF($K$5="中文","Date")))))</f>
        <v>Date</v>
      </c>
      <c r="L68" s="502" t="str">
        <f>IF($K$5="Deutsch","Logistik",IF($K$5="English","Logistics",IF($K$5="Français","Logistique",IF($K$5="Portugues","Logistica",IF($K$5="中文","後勤")))))</f>
        <v>Logistics</v>
      </c>
      <c r="M68" s="503"/>
      <c r="N68" s="504"/>
      <c r="O68" s="153"/>
      <c r="P68" s="153"/>
      <c r="Q68" s="153"/>
      <c r="R68" s="153"/>
      <c r="S68" s="153"/>
      <c r="T68" s="153"/>
      <c r="U68" s="153"/>
      <c r="V68" s="153"/>
      <c r="W68" s="153"/>
      <c r="X68" s="153"/>
      <c r="Y68" s="153"/>
      <c r="Z68" s="153"/>
      <c r="AA68" s="153"/>
      <c r="AB68" s="153"/>
      <c r="AC68" s="153"/>
      <c r="AD68" s="153"/>
      <c r="AE68" s="153"/>
      <c r="AF68" s="153"/>
      <c r="AG68" s="153"/>
      <c r="AH68" s="153"/>
      <c r="AI68" s="153"/>
      <c r="AJ68" s="153"/>
      <c r="AK68" s="153"/>
      <c r="AL68" s="153"/>
      <c r="AM68" s="153"/>
      <c r="AN68" s="153"/>
      <c r="AO68" s="153"/>
      <c r="AP68" s="153"/>
      <c r="AQ68" s="153"/>
      <c r="AR68" s="153"/>
      <c r="AS68" s="153"/>
      <c r="AT68" s="153"/>
      <c r="AU68" s="153"/>
      <c r="AV68" s="153"/>
      <c r="AW68" s="153"/>
      <c r="AX68" s="153"/>
      <c r="AY68" s="153"/>
    </row>
    <row r="69" spans="1:51" ht="9" customHeight="1" thickBot="1" x14ac:dyDescent="0.25">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153"/>
      <c r="AY69" s="153"/>
    </row>
    <row r="70" spans="1:51" ht="24" customHeight="1" x14ac:dyDescent="0.2">
      <c r="B70" s="478" t="str">
        <f>IF($K$5="Deutsch","Die Einhaltung der Restschmutzanforderungen lt. Kundenzeichnung wird durch das gewählte Verpackungskonzept sichergestellt. Auf Sauberkeit der Verpackung ist zu achten.",IF($K$5="English","This Packaging Data Sheet complies to the cleanliness requirements of the customer drawing. Packaging components need to be clean.",IF($K$5="Français","Le respect des critèere de propoté d'après le plan client doit être garanti par le concept d'emballage choisi.                                                                                                 La propreté des emballages est à surveiller.",IF($K$5="Portugues","Esta Instrucao da Embalagem cumpre os requisitos do cliente para a limpeza da embalagem. Os componentes de embalagens devem estar limpos.",IF($K$5="中文","包装材料必须保持清洁")))))</f>
        <v>This Packaging Data Sheet complies to the cleanliness requirements of the customer drawing. Packaging components need to be clean.</v>
      </c>
      <c r="C70" s="479"/>
      <c r="D70" s="479"/>
      <c r="E70" s="479"/>
      <c r="F70" s="479"/>
      <c r="G70" s="479"/>
      <c r="H70" s="479"/>
      <c r="I70" s="479"/>
      <c r="J70" s="479"/>
      <c r="K70" s="479"/>
      <c r="L70" s="479"/>
      <c r="M70" s="479"/>
      <c r="N70" s="480"/>
      <c r="O70" s="153"/>
      <c r="P70" s="153"/>
      <c r="Q70" s="153"/>
      <c r="R70" s="153"/>
      <c r="S70" s="153"/>
      <c r="T70" s="153"/>
      <c r="U70" s="153"/>
      <c r="V70" s="153"/>
      <c r="W70" s="153"/>
      <c r="X70" s="153"/>
      <c r="Y70" s="153"/>
      <c r="Z70" s="153"/>
      <c r="AA70" s="153"/>
      <c r="AB70" s="153"/>
      <c r="AC70" s="153"/>
      <c r="AD70" s="153"/>
      <c r="AE70" s="153"/>
      <c r="AF70" s="153"/>
      <c r="AG70" s="153"/>
      <c r="AH70" s="153"/>
      <c r="AI70" s="153"/>
      <c r="AJ70" s="153"/>
      <c r="AK70" s="153"/>
      <c r="AL70" s="153"/>
      <c r="AM70" s="153"/>
      <c r="AN70" s="153"/>
      <c r="AO70" s="153"/>
      <c r="AP70" s="153"/>
      <c r="AQ70" s="153"/>
      <c r="AR70" s="153"/>
      <c r="AS70" s="153"/>
      <c r="AT70" s="153"/>
      <c r="AU70" s="153"/>
      <c r="AV70" s="153"/>
      <c r="AW70" s="153"/>
      <c r="AX70" s="153"/>
      <c r="AY70" s="153"/>
    </row>
    <row r="71" spans="1:51" ht="21" customHeight="1" thickBot="1" x14ac:dyDescent="0.25">
      <c r="A71" s="31"/>
      <c r="B71" s="481"/>
      <c r="C71" s="482"/>
      <c r="D71" s="482"/>
      <c r="E71" s="482"/>
      <c r="F71" s="482"/>
      <c r="G71" s="482"/>
      <c r="H71" s="482"/>
      <c r="I71" s="482"/>
      <c r="J71" s="482"/>
      <c r="K71" s="482"/>
      <c r="L71" s="482"/>
      <c r="M71" s="482"/>
      <c r="N71" s="483"/>
      <c r="O71" s="153"/>
      <c r="P71" s="153"/>
      <c r="Q71" s="153"/>
      <c r="R71" s="153"/>
      <c r="S71" s="153"/>
      <c r="T71" s="153"/>
      <c r="U71" s="153"/>
      <c r="V71" s="153"/>
      <c r="W71" s="153"/>
      <c r="X71" s="153"/>
      <c r="Y71" s="153"/>
      <c r="Z71" s="153"/>
      <c r="AA71" s="153"/>
      <c r="AB71" s="153"/>
      <c r="AC71" s="153"/>
      <c r="AD71" s="153"/>
      <c r="AE71" s="153"/>
      <c r="AF71" s="153"/>
      <c r="AG71" s="153"/>
      <c r="AH71" s="153"/>
      <c r="AI71" s="153"/>
      <c r="AJ71" s="153"/>
      <c r="AK71" s="153"/>
      <c r="AL71" s="153"/>
      <c r="AM71" s="153"/>
      <c r="AN71" s="153"/>
      <c r="AO71" s="153"/>
      <c r="AP71" s="153"/>
      <c r="AQ71" s="153"/>
      <c r="AR71" s="153"/>
      <c r="AS71" s="153"/>
      <c r="AT71" s="153"/>
      <c r="AU71" s="153"/>
      <c r="AV71" s="153"/>
      <c r="AW71" s="153"/>
      <c r="AX71" s="153"/>
      <c r="AY71" s="153"/>
    </row>
    <row r="72" spans="1:51" ht="9.75" customHeight="1" x14ac:dyDescent="0.2">
      <c r="A72" s="31"/>
      <c r="B72" s="31"/>
      <c r="C72" s="31"/>
      <c r="D72" s="31"/>
      <c r="E72" s="31"/>
      <c r="F72" s="31"/>
      <c r="G72" s="31"/>
      <c r="H72" s="31"/>
      <c r="I72" s="31"/>
      <c r="J72" s="31"/>
      <c r="K72" s="31"/>
      <c r="L72" s="31"/>
      <c r="M72" s="31"/>
      <c r="N72" s="31"/>
      <c r="O72" s="153"/>
      <c r="P72" s="153"/>
      <c r="Q72" s="153"/>
      <c r="R72" s="153"/>
      <c r="S72" s="153"/>
      <c r="T72" s="153"/>
      <c r="U72" s="153"/>
      <c r="V72" s="153"/>
      <c r="W72" s="153"/>
      <c r="X72" s="153"/>
      <c r="Y72" s="153"/>
      <c r="Z72" s="153"/>
      <c r="AA72" s="153"/>
      <c r="AB72" s="153"/>
      <c r="AC72" s="153"/>
      <c r="AD72" s="153"/>
      <c r="AE72" s="153"/>
      <c r="AF72" s="153"/>
      <c r="AG72" s="153"/>
      <c r="AH72" s="153"/>
      <c r="AI72" s="153"/>
      <c r="AJ72" s="153"/>
      <c r="AK72" s="153"/>
      <c r="AL72" s="153"/>
      <c r="AM72" s="153"/>
      <c r="AN72" s="153"/>
      <c r="AO72" s="153"/>
      <c r="AP72" s="153"/>
      <c r="AQ72" s="153"/>
      <c r="AR72" s="153"/>
      <c r="AS72" s="153"/>
      <c r="AT72" s="153"/>
      <c r="AU72" s="153"/>
      <c r="AV72" s="153"/>
      <c r="AW72" s="153"/>
      <c r="AX72" s="153"/>
      <c r="AY72" s="153"/>
    </row>
    <row r="73" spans="1:51" ht="13.5" customHeight="1" x14ac:dyDescent="0.2">
      <c r="A73" s="31"/>
      <c r="B73" s="31"/>
      <c r="C73" s="31"/>
      <c r="D73" s="31"/>
      <c r="E73" s="31"/>
      <c r="F73" s="31"/>
      <c r="G73" s="31"/>
      <c r="H73" s="31"/>
      <c r="K73" s="31"/>
      <c r="L73" s="31"/>
      <c r="M73" s="92" t="str">
        <f>IF($K$5="Deutsch","Seite",IF($K$5="English","Page",IF($K$5="Français","Page",IF($K$5="Portugues","Pagina",IF($K$5="中文","page",IF($K$5="हिन्दी","page"))))))</f>
        <v>Page</v>
      </c>
      <c r="N73" s="93" t="s">
        <v>63</v>
      </c>
      <c r="O73" s="153"/>
      <c r="P73" s="153"/>
      <c r="Q73" s="153"/>
      <c r="R73" s="153"/>
      <c r="S73" s="153"/>
      <c r="T73" s="153"/>
      <c r="U73" s="153"/>
      <c r="V73" s="153"/>
      <c r="W73" s="153"/>
      <c r="X73" s="153"/>
      <c r="Y73" s="153"/>
      <c r="Z73" s="153"/>
      <c r="AA73" s="153"/>
      <c r="AB73" s="153"/>
      <c r="AC73" s="153"/>
      <c r="AD73" s="153"/>
      <c r="AE73" s="153"/>
      <c r="AF73" s="153"/>
      <c r="AG73" s="153"/>
      <c r="AH73" s="153"/>
      <c r="AI73" s="153"/>
      <c r="AJ73" s="153"/>
      <c r="AK73" s="153"/>
      <c r="AL73" s="153"/>
      <c r="AM73" s="153"/>
      <c r="AN73" s="153"/>
      <c r="AO73" s="153"/>
      <c r="AP73" s="153"/>
      <c r="AQ73" s="153"/>
      <c r="AR73" s="153"/>
      <c r="AS73" s="153"/>
      <c r="AT73" s="153"/>
      <c r="AU73" s="153"/>
      <c r="AV73" s="153"/>
      <c r="AW73" s="153"/>
      <c r="AX73" s="153"/>
      <c r="AY73" s="153"/>
    </row>
    <row r="74" spans="1:51" ht="10.5" customHeight="1" x14ac:dyDescent="0.2">
      <c r="A74" s="31"/>
      <c r="B74" s="31"/>
      <c r="C74" s="31"/>
      <c r="D74" s="31"/>
      <c r="E74" s="31"/>
      <c r="F74" s="31"/>
      <c r="G74" s="31"/>
      <c r="H74" s="31"/>
      <c r="I74" s="31"/>
      <c r="J74" s="31"/>
      <c r="K74" s="31"/>
      <c r="L74" s="31"/>
      <c r="M74" s="31"/>
      <c r="N74" s="31"/>
      <c r="O74" s="153"/>
      <c r="P74" s="153"/>
      <c r="Q74" s="153"/>
      <c r="R74" s="153"/>
      <c r="S74" s="153"/>
      <c r="T74" s="153"/>
      <c r="U74" s="153"/>
      <c r="V74" s="153"/>
      <c r="W74" s="153"/>
      <c r="X74" s="153"/>
      <c r="Y74" s="153"/>
      <c r="Z74" s="153"/>
      <c r="AA74" s="153"/>
      <c r="AB74" s="153"/>
      <c r="AC74" s="153"/>
      <c r="AD74" s="153"/>
      <c r="AE74" s="153"/>
      <c r="AF74" s="153"/>
      <c r="AG74" s="153"/>
      <c r="AH74" s="153"/>
      <c r="AI74" s="153"/>
      <c r="AJ74" s="153"/>
      <c r="AK74" s="153"/>
      <c r="AL74" s="153"/>
      <c r="AM74" s="153"/>
      <c r="AN74" s="153"/>
      <c r="AO74" s="153"/>
      <c r="AP74" s="153"/>
      <c r="AQ74" s="153"/>
      <c r="AR74" s="153"/>
      <c r="AS74" s="153"/>
      <c r="AT74" s="153"/>
      <c r="AU74" s="153"/>
      <c r="AV74" s="153"/>
      <c r="AW74" s="153"/>
      <c r="AX74" s="153"/>
      <c r="AY74" s="153"/>
    </row>
    <row r="75" spans="1:51" ht="10.5" customHeight="1" x14ac:dyDescent="0.2">
      <c r="A75" s="31"/>
      <c r="B75" s="31"/>
      <c r="C75" s="31"/>
      <c r="D75" s="31"/>
      <c r="E75" s="31"/>
      <c r="F75" s="31"/>
      <c r="G75" s="31"/>
      <c r="H75" s="31"/>
      <c r="I75" s="31"/>
      <c r="J75" s="31"/>
      <c r="K75" s="31"/>
      <c r="L75" s="31"/>
      <c r="M75" s="31"/>
      <c r="N75" s="31"/>
      <c r="O75" s="153"/>
      <c r="P75" s="153"/>
      <c r="Q75" s="153"/>
      <c r="R75" s="153"/>
      <c r="S75" s="153"/>
      <c r="T75" s="153"/>
      <c r="U75" s="153"/>
      <c r="V75" s="153"/>
      <c r="W75" s="153"/>
      <c r="X75" s="153"/>
      <c r="Y75" s="153"/>
      <c r="Z75" s="153"/>
      <c r="AA75" s="153"/>
      <c r="AB75" s="153"/>
      <c r="AC75" s="153"/>
      <c r="AD75" s="153"/>
      <c r="AE75" s="153"/>
      <c r="AF75" s="153"/>
      <c r="AG75" s="153"/>
      <c r="AH75" s="153"/>
      <c r="AI75" s="153"/>
      <c r="AJ75" s="153"/>
      <c r="AK75" s="153"/>
      <c r="AL75" s="153"/>
      <c r="AM75" s="153"/>
      <c r="AN75" s="153"/>
      <c r="AO75" s="153"/>
      <c r="AP75" s="153"/>
      <c r="AQ75" s="153"/>
      <c r="AR75" s="153"/>
      <c r="AS75" s="153"/>
      <c r="AT75" s="153"/>
      <c r="AU75" s="153"/>
      <c r="AV75" s="153"/>
      <c r="AW75" s="153"/>
      <c r="AX75" s="153"/>
      <c r="AY75" s="153"/>
    </row>
    <row r="76" spans="1:51" ht="10.5" customHeight="1" thickBot="1" x14ac:dyDescent="0.25">
      <c r="A76" s="31"/>
      <c r="B76" s="31"/>
      <c r="C76" s="31"/>
      <c r="D76" s="31"/>
      <c r="E76" s="31"/>
      <c r="F76" s="31"/>
      <c r="G76" s="31"/>
      <c r="H76" s="31"/>
      <c r="I76" s="31"/>
      <c r="J76" s="31"/>
      <c r="K76" s="31"/>
      <c r="L76" s="31"/>
      <c r="M76" s="31"/>
      <c r="N76" s="31"/>
      <c r="O76" s="153"/>
      <c r="P76" s="153"/>
      <c r="Q76" s="153"/>
      <c r="R76" s="153"/>
      <c r="S76" s="153"/>
      <c r="T76" s="153"/>
      <c r="U76" s="153"/>
      <c r="V76" s="153"/>
      <c r="W76" s="153"/>
      <c r="X76" s="153"/>
      <c r="Y76" s="153"/>
      <c r="Z76" s="153"/>
      <c r="AA76" s="153"/>
      <c r="AB76" s="153"/>
      <c r="AC76" s="153"/>
      <c r="AD76" s="153"/>
      <c r="AE76" s="153"/>
      <c r="AF76" s="153"/>
      <c r="AG76" s="153"/>
      <c r="AH76" s="153"/>
      <c r="AI76" s="153"/>
      <c r="AJ76" s="153"/>
      <c r="AK76" s="153"/>
      <c r="AL76" s="153"/>
      <c r="AM76" s="153"/>
      <c r="AN76" s="153"/>
      <c r="AO76" s="153"/>
      <c r="AP76" s="153"/>
      <c r="AQ76" s="153"/>
      <c r="AR76" s="153"/>
      <c r="AS76" s="153"/>
      <c r="AT76" s="153"/>
      <c r="AU76" s="153"/>
      <c r="AV76" s="153"/>
      <c r="AW76" s="153"/>
      <c r="AX76" s="153"/>
      <c r="AY76" s="153"/>
    </row>
    <row r="77" spans="1:51" ht="12.75" customHeight="1" x14ac:dyDescent="0.2">
      <c r="A77" s="31"/>
      <c r="B77" s="448" t="str">
        <f>IF(B6="","",B6)</f>
        <v>ThyssenKrupp Presta Ilsenburg GmbH</v>
      </c>
      <c r="C77" s="449"/>
      <c r="D77" s="449"/>
      <c r="E77" s="449"/>
      <c r="F77" s="450"/>
      <c r="N77" s="31"/>
      <c r="O77" s="153"/>
      <c r="P77" s="153"/>
      <c r="Q77" s="153"/>
      <c r="R77" s="153"/>
      <c r="S77" s="153"/>
      <c r="T77" s="153"/>
      <c r="U77" s="153"/>
      <c r="V77" s="153"/>
      <c r="W77" s="153"/>
      <c r="X77" s="153"/>
      <c r="Y77" s="153"/>
      <c r="Z77" s="153"/>
      <c r="AA77" s="153"/>
      <c r="AB77" s="153"/>
      <c r="AC77" s="153"/>
      <c r="AD77" s="153"/>
      <c r="AE77" s="153"/>
      <c r="AF77" s="153"/>
      <c r="AG77" s="153"/>
      <c r="AH77" s="153"/>
      <c r="AI77" s="153"/>
      <c r="AJ77" s="153"/>
      <c r="AK77" s="153"/>
      <c r="AL77" s="153"/>
      <c r="AM77" s="153"/>
      <c r="AN77" s="153"/>
      <c r="AO77" s="153"/>
      <c r="AP77" s="153"/>
      <c r="AQ77" s="153"/>
      <c r="AR77" s="153"/>
      <c r="AS77" s="153"/>
      <c r="AT77" s="153"/>
      <c r="AU77" s="153"/>
      <c r="AV77" s="153"/>
      <c r="AW77" s="153"/>
      <c r="AX77" s="153"/>
      <c r="AY77" s="153"/>
    </row>
    <row r="78" spans="1:51" ht="15" customHeight="1" x14ac:dyDescent="0.2">
      <c r="B78" s="451"/>
      <c r="C78" s="452"/>
      <c r="D78" s="452"/>
      <c r="E78" s="452"/>
      <c r="F78" s="453"/>
      <c r="N78" s="31"/>
      <c r="O78" s="153"/>
      <c r="P78" s="153"/>
      <c r="Q78" s="153"/>
      <c r="R78" s="153"/>
      <c r="S78" s="153"/>
      <c r="T78" s="153"/>
      <c r="U78" s="153"/>
      <c r="V78" s="153"/>
      <c r="W78" s="153"/>
      <c r="X78" s="153"/>
      <c r="Y78" s="153"/>
      <c r="Z78" s="153"/>
      <c r="AA78" s="153"/>
      <c r="AB78" s="153"/>
      <c r="AC78" s="153"/>
      <c r="AD78" s="153"/>
      <c r="AE78" s="153"/>
      <c r="AF78" s="153"/>
      <c r="AG78" s="153"/>
      <c r="AH78" s="153"/>
      <c r="AI78" s="153"/>
      <c r="AJ78" s="153"/>
      <c r="AK78" s="153"/>
      <c r="AL78" s="153"/>
      <c r="AM78" s="153"/>
      <c r="AN78" s="153"/>
      <c r="AO78" s="153"/>
      <c r="AP78" s="153"/>
      <c r="AQ78" s="153"/>
      <c r="AR78" s="153"/>
      <c r="AS78" s="153"/>
      <c r="AT78" s="153"/>
      <c r="AU78" s="153"/>
      <c r="AV78" s="153"/>
      <c r="AW78" s="153"/>
      <c r="AX78" s="153"/>
      <c r="AY78" s="153"/>
    </row>
    <row r="79" spans="1:51" s="31" customFormat="1" ht="13.5" thickBot="1" x14ac:dyDescent="0.25">
      <c r="A79" s="62"/>
      <c r="B79" s="454"/>
      <c r="C79" s="455"/>
      <c r="D79" s="455"/>
      <c r="E79" s="455"/>
      <c r="F79" s="456"/>
      <c r="N79" s="62"/>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row>
    <row r="80" spans="1:51" s="31" customFormat="1" ht="6" customHeight="1" thickBot="1" x14ac:dyDescent="0.25">
      <c r="A80" s="62"/>
      <c r="N80" s="62"/>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row>
    <row r="81" spans="1:51" s="31" customFormat="1" ht="12.75" customHeight="1" x14ac:dyDescent="0.2">
      <c r="A81" s="62"/>
      <c r="B81" s="346" t="str">
        <f>IF($K$5="Deutsch","Versandvorschrift",IF($K$5="English","Packaging rules",IF($K$5="Français","Réglès d'emballage",IF($K$5="Portugues","Instrução de Embalagem",IF($K$5="中文","包装数据表",IF($K$5="हिन्दी","पैकेजिंग डाटा शीट"))))))</f>
        <v>Packaging rules</v>
      </c>
      <c r="C81" s="347"/>
      <c r="D81" s="347"/>
      <c r="E81" s="347"/>
      <c r="F81" s="347"/>
      <c r="G81" s="347"/>
      <c r="H81" s="347"/>
      <c r="I81" s="347"/>
      <c r="J81" s="347"/>
      <c r="K81" s="347"/>
      <c r="L81" s="347"/>
      <c r="M81" s="347"/>
      <c r="N81" s="348"/>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row>
    <row r="82" spans="1:51" s="31" customFormat="1" ht="21" customHeight="1" thickBot="1" x14ac:dyDescent="0.25">
      <c r="A82" s="62"/>
      <c r="B82" s="349"/>
      <c r="C82" s="350"/>
      <c r="D82" s="350"/>
      <c r="E82" s="350"/>
      <c r="F82" s="350"/>
      <c r="G82" s="350"/>
      <c r="H82" s="350"/>
      <c r="I82" s="350"/>
      <c r="J82" s="350"/>
      <c r="K82" s="350"/>
      <c r="L82" s="350"/>
      <c r="M82" s="350"/>
      <c r="N82" s="351"/>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row>
    <row r="83" spans="1:51" s="31" customFormat="1" ht="13.5" thickBot="1" x14ac:dyDescent="0.25">
      <c r="A83" s="62"/>
      <c r="N83" s="62"/>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row>
    <row r="84" spans="1:51" s="31" customFormat="1" x14ac:dyDescent="0.2">
      <c r="A84" s="62"/>
      <c r="B84" s="3" t="str">
        <f>IF($K$5="Deutsch","Lieferant",IF($K$5="English","Supplier",IF($K$5="Français","Client",IF($K$5="Portugues","Fornecedor",IF($K$5="中文","供应商",IF($K$5="हिन्दी","प्रदायक"))))))</f>
        <v>Supplier</v>
      </c>
      <c r="C84" s="250" t="str">
        <f>IF(C11="","",C11)</f>
        <v>AAA Company</v>
      </c>
      <c r="D84" s="250"/>
      <c r="E84" s="250"/>
      <c r="F84" s="250"/>
      <c r="G84" s="250"/>
      <c r="H84" s="251"/>
      <c r="I84" s="3" t="str">
        <f>B49</f>
        <v>Gross Weight (kg/lb):</v>
      </c>
      <c r="J84" s="472">
        <f>C49</f>
        <v>367.72</v>
      </c>
      <c r="K84" s="473"/>
      <c r="L84" s="473"/>
      <c r="M84" s="473"/>
      <c r="N84" s="474"/>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row>
    <row r="85" spans="1:51" s="31" customFormat="1" x14ac:dyDescent="0.2">
      <c r="A85" s="62"/>
      <c r="B85" s="2" t="str">
        <f>IF($K$5="Deutsch","Materialnummer Kunde:",IF($K$5="English","Material number Customer:",IF($K$5="Français","Référence client:",IF($K$5="Portugues","Numero cliente do material:",IF($K$5="中文","客户物料号：",IF($K$5="हिन्दी","ग्राहक सामग्री नंबर:",))))))</f>
        <v>Material number Customer:</v>
      </c>
      <c r="C85" s="220">
        <f>IF(J23="","",J23)</f>
        <v>123456</v>
      </c>
      <c r="D85" s="220"/>
      <c r="E85" s="220"/>
      <c r="F85" s="220"/>
      <c r="G85" s="220"/>
      <c r="H85" s="221"/>
      <c r="I85" s="2" t="str">
        <f>B27</f>
        <v>Stacking factor (filled):</v>
      </c>
      <c r="J85" s="221" t="str">
        <f>IF(C27="","",C27)</f>
        <v>1+1</v>
      </c>
      <c r="K85" s="293"/>
      <c r="L85" s="293"/>
      <c r="M85" s="293"/>
      <c r="N85" s="294"/>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row>
    <row r="86" spans="1:51" s="31" customFormat="1" x14ac:dyDescent="0.2">
      <c r="A86" s="62"/>
      <c r="B86" s="95" t="str">
        <f>IF($K$5="Deutsch","Aussenmasse BEFÜLLT:",IF($K$5="English","Ext. dimensions FILLED:",IF($K$5="Français","Ext. dimensions UM PLEIN:",IF($K$5="Portugues","Dim. exteriores CHEIO:",IF($K$5="中文","装满的包装外部尺寸:",IF($K$5="हिन्दी","बाहरी आयाम भरा:"))))))</f>
        <v>Ext. dimensions FILLED:</v>
      </c>
      <c r="C86" s="252" t="str">
        <f>IF(E32="","",E32)</f>
        <v/>
      </c>
      <c r="D86" s="253"/>
      <c r="E86" s="254"/>
      <c r="F86" s="112">
        <f>IF(F32="","",F32)</f>
        <v>800</v>
      </c>
      <c r="G86" s="113">
        <f>IF(G32="","",G32)</f>
        <v>1200</v>
      </c>
      <c r="H86" s="114">
        <f>IF(H32="","",H32)</f>
        <v>998</v>
      </c>
      <c r="I86" s="96" t="str">
        <f>K26</f>
        <v>Delivery frequency:</v>
      </c>
      <c r="J86" s="399" t="str">
        <f>IF(M26="","",M26)</f>
        <v/>
      </c>
      <c r="K86" s="400"/>
      <c r="L86" s="400"/>
      <c r="M86" s="400"/>
      <c r="N86" s="401"/>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row>
    <row r="87" spans="1:51" s="31" customFormat="1" ht="13.5" thickBot="1" x14ac:dyDescent="0.25">
      <c r="A87" s="62"/>
      <c r="B87" s="94" t="str">
        <f>K32</f>
        <v>Filling qty / Handling Unit:</v>
      </c>
      <c r="C87" s="323">
        <f>IF(M32="","",M32)</f>
        <v>2304</v>
      </c>
      <c r="D87" s="324"/>
      <c r="E87" s="324"/>
      <c r="F87" s="324"/>
      <c r="G87" s="324"/>
      <c r="H87" s="325"/>
      <c r="I87" s="94" t="str">
        <f>K33</f>
        <v>Filling qty (Container/Box):</v>
      </c>
      <c r="J87" s="247">
        <f>IF(M33="","",M33)</f>
        <v>48</v>
      </c>
      <c r="K87" s="248"/>
      <c r="L87" s="248"/>
      <c r="M87" s="248"/>
      <c r="N87" s="249"/>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row>
    <row r="88" spans="1:51" s="31" customFormat="1" x14ac:dyDescent="0.2">
      <c r="A88" s="62"/>
      <c r="N88" s="62"/>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row>
    <row r="89" spans="1:51" s="31" customFormat="1" ht="18.75" customHeight="1" x14ac:dyDescent="0.2">
      <c r="A89" s="62"/>
      <c r="B89" s="587" t="str">
        <f>IF($K$5="Deutsch","Photo 1 
Befüllung",IF($K$5="English","Photo 1
Filling",IF($K$5="Français","Photo 1
Remplissage",IF($K$5="Portugues","Imagem 1
Completa",IF($K$5="中文","图片1 
装箱")))))</f>
        <v>Photo 1
Filling</v>
      </c>
      <c r="C89" s="588"/>
      <c r="D89" s="588"/>
      <c r="E89" s="589"/>
      <c r="F89" s="144"/>
      <c r="G89" s="236" t="str">
        <f>IF($K$5="Deutsch","Kommentare Photo 1",IF($K$5="English","Comments Picture 1",IF($K$5="Français","Commentaire photo 1",IF($K$5="Portugues","Comentários imagem 1",IF($K$5="中文","注释 ""图片1")))))</f>
        <v>Comments Picture 1</v>
      </c>
      <c r="H89" s="237"/>
      <c r="I89" s="237"/>
      <c r="J89" s="237"/>
      <c r="K89" s="237"/>
      <c r="L89" s="237"/>
      <c r="M89" s="237"/>
      <c r="N89" s="238"/>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row>
    <row r="90" spans="1:51" s="31" customFormat="1" ht="12.75" customHeight="1" x14ac:dyDescent="0.2">
      <c r="A90" s="62"/>
      <c r="B90" s="590"/>
      <c r="C90" s="591"/>
      <c r="D90" s="591"/>
      <c r="E90" s="592"/>
      <c r="F90" s="144"/>
      <c r="G90" s="596" t="s">
        <v>137</v>
      </c>
      <c r="H90" s="597"/>
      <c r="I90" s="597"/>
      <c r="J90" s="597"/>
      <c r="K90" s="597"/>
      <c r="L90" s="597"/>
      <c r="M90" s="597"/>
      <c r="N90" s="598"/>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row>
    <row r="91" spans="1:51" s="31" customFormat="1" ht="12.75" customHeight="1" x14ac:dyDescent="0.2">
      <c r="A91" s="62"/>
      <c r="B91" s="590"/>
      <c r="C91" s="591"/>
      <c r="D91" s="591"/>
      <c r="E91" s="592"/>
      <c r="F91" s="144"/>
      <c r="G91" s="599"/>
      <c r="H91" s="600"/>
      <c r="I91" s="600"/>
      <c r="J91" s="600"/>
      <c r="K91" s="600"/>
      <c r="L91" s="600"/>
      <c r="M91" s="600"/>
      <c r="N91" s="601"/>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row>
    <row r="92" spans="1:51" s="31" customFormat="1" ht="12.75" customHeight="1" x14ac:dyDescent="0.2">
      <c r="A92" s="62"/>
      <c r="B92" s="590"/>
      <c r="C92" s="591"/>
      <c r="D92" s="591"/>
      <c r="E92" s="592"/>
      <c r="F92" s="144"/>
      <c r="G92" s="599"/>
      <c r="H92" s="600"/>
      <c r="I92" s="600"/>
      <c r="J92" s="600"/>
      <c r="K92" s="600"/>
      <c r="L92" s="600"/>
      <c r="M92" s="600"/>
      <c r="N92" s="601"/>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row>
    <row r="93" spans="1:51" s="31" customFormat="1" ht="12.75" customHeight="1" x14ac:dyDescent="0.2">
      <c r="A93" s="62"/>
      <c r="B93" s="590"/>
      <c r="C93" s="591"/>
      <c r="D93" s="591"/>
      <c r="E93" s="592"/>
      <c r="F93" s="144"/>
      <c r="G93" s="599"/>
      <c r="H93" s="600"/>
      <c r="I93" s="600"/>
      <c r="J93" s="600"/>
      <c r="K93" s="600"/>
      <c r="L93" s="600"/>
      <c r="M93" s="600"/>
      <c r="N93" s="601"/>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row>
    <row r="94" spans="1:51" s="31" customFormat="1" ht="12.75" customHeight="1" x14ac:dyDescent="0.2">
      <c r="A94" s="62"/>
      <c r="B94" s="590"/>
      <c r="C94" s="591"/>
      <c r="D94" s="591"/>
      <c r="E94" s="592"/>
      <c r="F94" s="144"/>
      <c r="G94" s="599"/>
      <c r="H94" s="600"/>
      <c r="I94" s="600"/>
      <c r="J94" s="600"/>
      <c r="K94" s="600"/>
      <c r="L94" s="600"/>
      <c r="M94" s="600"/>
      <c r="N94" s="601"/>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row>
    <row r="95" spans="1:51" s="31" customFormat="1" ht="12.75" customHeight="1" x14ac:dyDescent="0.2">
      <c r="A95" s="62"/>
      <c r="B95" s="590"/>
      <c r="C95" s="591"/>
      <c r="D95" s="591"/>
      <c r="E95" s="592"/>
      <c r="F95" s="144"/>
      <c r="G95" s="599"/>
      <c r="H95" s="600"/>
      <c r="I95" s="600"/>
      <c r="J95" s="600"/>
      <c r="K95" s="600"/>
      <c r="L95" s="600"/>
      <c r="M95" s="600"/>
      <c r="N95" s="601"/>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row>
    <row r="96" spans="1:51" s="31" customFormat="1" ht="12.75" customHeight="1" x14ac:dyDescent="0.2">
      <c r="A96" s="62"/>
      <c r="B96" s="590"/>
      <c r="C96" s="591"/>
      <c r="D96" s="591"/>
      <c r="E96" s="592"/>
      <c r="F96" s="144"/>
      <c r="G96" s="599"/>
      <c r="H96" s="600"/>
      <c r="I96" s="600"/>
      <c r="J96" s="600"/>
      <c r="K96" s="600"/>
      <c r="L96" s="600"/>
      <c r="M96" s="600"/>
      <c r="N96" s="601"/>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row>
    <row r="97" spans="1:51" s="31" customFormat="1" ht="12.75" customHeight="1" x14ac:dyDescent="0.2">
      <c r="A97" s="62"/>
      <c r="B97" s="590"/>
      <c r="C97" s="591"/>
      <c r="D97" s="591"/>
      <c r="E97" s="592"/>
      <c r="F97" s="144"/>
      <c r="G97" s="599"/>
      <c r="H97" s="600"/>
      <c r="I97" s="600"/>
      <c r="J97" s="600"/>
      <c r="K97" s="600"/>
      <c r="L97" s="600"/>
      <c r="M97" s="600"/>
      <c r="N97" s="601"/>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row>
    <row r="98" spans="1:51" s="31" customFormat="1" ht="12.75" customHeight="1" x14ac:dyDescent="0.2">
      <c r="A98" s="62"/>
      <c r="B98" s="590"/>
      <c r="C98" s="591"/>
      <c r="D98" s="591"/>
      <c r="E98" s="592"/>
      <c r="F98" s="144"/>
      <c r="G98" s="599"/>
      <c r="H98" s="600"/>
      <c r="I98" s="600"/>
      <c r="J98" s="600"/>
      <c r="K98" s="600"/>
      <c r="L98" s="600"/>
      <c r="M98" s="600"/>
      <c r="N98" s="601"/>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row>
    <row r="99" spans="1:51" s="31" customFormat="1" ht="12.75" customHeight="1" x14ac:dyDescent="0.2">
      <c r="A99" s="62"/>
      <c r="B99" s="590"/>
      <c r="C99" s="591"/>
      <c r="D99" s="591"/>
      <c r="E99" s="592"/>
      <c r="F99" s="144"/>
      <c r="G99" s="599"/>
      <c r="H99" s="600"/>
      <c r="I99" s="600"/>
      <c r="J99" s="600"/>
      <c r="K99" s="600"/>
      <c r="L99" s="600"/>
      <c r="M99" s="600"/>
      <c r="N99" s="601"/>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row>
    <row r="100" spans="1:51" s="31" customFormat="1" ht="12.75" customHeight="1" x14ac:dyDescent="0.2">
      <c r="A100" s="62"/>
      <c r="B100" s="590"/>
      <c r="C100" s="591"/>
      <c r="D100" s="591"/>
      <c r="E100" s="592"/>
      <c r="F100" s="144"/>
      <c r="G100" s="599"/>
      <c r="H100" s="600"/>
      <c r="I100" s="600"/>
      <c r="J100" s="600"/>
      <c r="K100" s="600"/>
      <c r="L100" s="600"/>
      <c r="M100" s="600"/>
      <c r="N100" s="601"/>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row>
    <row r="101" spans="1:51" s="31" customFormat="1" ht="12.75" customHeight="1" x14ac:dyDescent="0.2">
      <c r="A101" s="62"/>
      <c r="B101" s="590"/>
      <c r="C101" s="591"/>
      <c r="D101" s="591"/>
      <c r="E101" s="592"/>
      <c r="F101" s="144"/>
      <c r="G101" s="599"/>
      <c r="H101" s="600"/>
      <c r="I101" s="600"/>
      <c r="J101" s="600"/>
      <c r="K101" s="600"/>
      <c r="L101" s="600"/>
      <c r="M101" s="600"/>
      <c r="N101" s="601"/>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row>
    <row r="102" spans="1:51" s="31" customFormat="1" ht="12.75" customHeight="1" x14ac:dyDescent="0.2">
      <c r="A102" s="62"/>
      <c r="B102" s="590"/>
      <c r="C102" s="591"/>
      <c r="D102" s="591"/>
      <c r="E102" s="592"/>
      <c r="F102" s="144"/>
      <c r="G102" s="599"/>
      <c r="H102" s="600"/>
      <c r="I102" s="600"/>
      <c r="J102" s="600"/>
      <c r="K102" s="600"/>
      <c r="L102" s="600"/>
      <c r="M102" s="600"/>
      <c r="N102" s="601"/>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row>
    <row r="103" spans="1:51" s="31" customFormat="1" ht="12.75" customHeight="1" x14ac:dyDescent="0.2">
      <c r="A103" s="62"/>
      <c r="B103" s="590"/>
      <c r="C103" s="591"/>
      <c r="D103" s="591"/>
      <c r="E103" s="592"/>
      <c r="F103" s="144"/>
      <c r="G103" s="599"/>
      <c r="H103" s="600"/>
      <c r="I103" s="600"/>
      <c r="J103" s="600"/>
      <c r="K103" s="600"/>
      <c r="L103" s="600"/>
      <c r="M103" s="600"/>
      <c r="N103" s="601"/>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row>
    <row r="104" spans="1:51" s="31" customFormat="1" ht="12.75" customHeight="1" x14ac:dyDescent="0.2">
      <c r="A104" s="62"/>
      <c r="B104" s="590"/>
      <c r="C104" s="591"/>
      <c r="D104" s="591"/>
      <c r="E104" s="592"/>
      <c r="F104" s="144"/>
      <c r="G104" s="599"/>
      <c r="H104" s="600"/>
      <c r="I104" s="600"/>
      <c r="J104" s="600"/>
      <c r="K104" s="600"/>
      <c r="L104" s="600"/>
      <c r="M104" s="600"/>
      <c r="N104" s="601"/>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row>
    <row r="105" spans="1:51" s="31" customFormat="1" ht="12.75" customHeight="1" x14ac:dyDescent="0.2">
      <c r="A105" s="62"/>
      <c r="B105" s="590"/>
      <c r="C105" s="591"/>
      <c r="D105" s="591"/>
      <c r="E105" s="592"/>
      <c r="F105" s="144"/>
      <c r="G105" s="599"/>
      <c r="H105" s="600"/>
      <c r="I105" s="600"/>
      <c r="J105" s="600"/>
      <c r="K105" s="600"/>
      <c r="L105" s="600"/>
      <c r="M105" s="600"/>
      <c r="N105" s="601"/>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row>
    <row r="106" spans="1:51" s="31" customFormat="1" ht="12.75" customHeight="1" x14ac:dyDescent="0.2">
      <c r="A106" s="62"/>
      <c r="B106" s="593"/>
      <c r="C106" s="594"/>
      <c r="D106" s="594"/>
      <c r="E106" s="595"/>
      <c r="F106" s="144"/>
      <c r="G106" s="602"/>
      <c r="H106" s="603"/>
      <c r="I106" s="603"/>
      <c r="J106" s="603"/>
      <c r="K106" s="603"/>
      <c r="L106" s="603"/>
      <c r="M106" s="603"/>
      <c r="N106" s="604"/>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row>
    <row r="107" spans="1:51" s="31" customFormat="1" x14ac:dyDescent="0.2">
      <c r="A107" s="62"/>
      <c r="B107" s="144"/>
      <c r="C107" s="145" t="str">
        <f>IF($K$5="Deutsch","Photo 1",IF($K$5="English","Photo 1",IF($K$5="Français","Photo 1",IF($K$5="Portugues","Imagem 1",IF($K$5="中文","图片1 ")))))</f>
        <v>Photo 1</v>
      </c>
      <c r="D107" s="144"/>
      <c r="E107" s="144"/>
      <c r="F107" s="144"/>
      <c r="G107" s="144"/>
      <c r="H107" s="144"/>
      <c r="I107" s="62"/>
      <c r="J107" s="62"/>
      <c r="K107" s="62"/>
      <c r="L107" s="62"/>
      <c r="M107" s="62"/>
      <c r="N107" s="62"/>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row>
    <row r="108" spans="1:51" s="31" customFormat="1" x14ac:dyDescent="0.2">
      <c r="A108" s="62"/>
      <c r="B108" s="144"/>
      <c r="C108" s="144"/>
      <c r="D108" s="144"/>
      <c r="E108" s="144"/>
      <c r="F108" s="144"/>
      <c r="G108" s="144"/>
      <c r="H108" s="144"/>
      <c r="I108" s="62"/>
      <c r="J108" s="62"/>
      <c r="K108" s="62"/>
      <c r="L108" s="62"/>
      <c r="M108" s="62"/>
      <c r="N108" s="62"/>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row>
    <row r="109" spans="1:51" s="31" customFormat="1" ht="18" x14ac:dyDescent="0.2">
      <c r="A109" s="62"/>
      <c r="B109" s="587" t="str">
        <f>IF($K$5="Deutsch","Photo 2 
Befüllung",IF($K$5="English","Photo 2
Filling",IF($K$5="Français","Photo 2
Remplissage",IF($K$5="Portugues","Imagem 2
Completa",IF($K$5="中文","图片2
 装箱")))))</f>
        <v>Photo 2
Filling</v>
      </c>
      <c r="C109" s="588"/>
      <c r="D109" s="588"/>
      <c r="E109" s="589"/>
      <c r="F109" s="144"/>
      <c r="G109" s="236" t="str">
        <f>IF($K$5="Deutsch","Kommentare Photo 2",IF($K$5="English","Comments Picture 2",IF($K$5="Français","Commentaire photo 2",IF($K$5="Portugues","Comentários imagem 2",IF($K$5="中文","注释 ""图片2")))))</f>
        <v>Comments Picture 2</v>
      </c>
      <c r="H109" s="237"/>
      <c r="I109" s="237"/>
      <c r="J109" s="237"/>
      <c r="K109" s="237"/>
      <c r="L109" s="237"/>
      <c r="M109" s="237"/>
      <c r="N109" s="238"/>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row>
    <row r="110" spans="1:51" s="31" customFormat="1" ht="12.75" customHeight="1" x14ac:dyDescent="0.2">
      <c r="A110" s="62"/>
      <c r="B110" s="590"/>
      <c r="C110" s="591"/>
      <c r="D110" s="591"/>
      <c r="E110" s="592"/>
      <c r="F110" s="144"/>
      <c r="G110" s="596" t="s">
        <v>138</v>
      </c>
      <c r="H110" s="597"/>
      <c r="I110" s="597"/>
      <c r="J110" s="597"/>
      <c r="K110" s="597"/>
      <c r="L110" s="597"/>
      <c r="M110" s="597"/>
      <c r="N110" s="598"/>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row>
    <row r="111" spans="1:51" s="31" customFormat="1" ht="12.75" customHeight="1" x14ac:dyDescent="0.2">
      <c r="A111" s="62"/>
      <c r="B111" s="590"/>
      <c r="C111" s="591"/>
      <c r="D111" s="591"/>
      <c r="E111" s="592"/>
      <c r="F111" s="144"/>
      <c r="G111" s="599"/>
      <c r="H111" s="600"/>
      <c r="I111" s="600"/>
      <c r="J111" s="600"/>
      <c r="K111" s="600"/>
      <c r="L111" s="600"/>
      <c r="M111" s="600"/>
      <c r="N111" s="601"/>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row>
    <row r="112" spans="1:51" s="31" customFormat="1" ht="12.75" customHeight="1" x14ac:dyDescent="0.2">
      <c r="A112" s="62"/>
      <c r="B112" s="590"/>
      <c r="C112" s="591"/>
      <c r="D112" s="591"/>
      <c r="E112" s="592"/>
      <c r="F112" s="144"/>
      <c r="G112" s="599"/>
      <c r="H112" s="600"/>
      <c r="I112" s="600"/>
      <c r="J112" s="600"/>
      <c r="K112" s="600"/>
      <c r="L112" s="600"/>
      <c r="M112" s="600"/>
      <c r="N112" s="601"/>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row>
    <row r="113" spans="1:51" s="31" customFormat="1" ht="12.75" customHeight="1" x14ac:dyDescent="0.2">
      <c r="A113" s="62"/>
      <c r="B113" s="590"/>
      <c r="C113" s="591"/>
      <c r="D113" s="591"/>
      <c r="E113" s="592"/>
      <c r="F113" s="144"/>
      <c r="G113" s="599"/>
      <c r="H113" s="600"/>
      <c r="I113" s="600"/>
      <c r="J113" s="600"/>
      <c r="K113" s="600"/>
      <c r="L113" s="600"/>
      <c r="M113" s="600"/>
      <c r="N113" s="601"/>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row>
    <row r="114" spans="1:51" s="31" customFormat="1" ht="12.75" customHeight="1" x14ac:dyDescent="0.2">
      <c r="A114" s="62"/>
      <c r="B114" s="590"/>
      <c r="C114" s="591"/>
      <c r="D114" s="591"/>
      <c r="E114" s="592"/>
      <c r="F114" s="144"/>
      <c r="G114" s="599"/>
      <c r="H114" s="600"/>
      <c r="I114" s="600"/>
      <c r="J114" s="600"/>
      <c r="K114" s="600"/>
      <c r="L114" s="600"/>
      <c r="M114" s="600"/>
      <c r="N114" s="601"/>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row>
    <row r="115" spans="1:51" s="31" customFormat="1" ht="12.75" customHeight="1" x14ac:dyDescent="0.2">
      <c r="A115" s="62"/>
      <c r="B115" s="590"/>
      <c r="C115" s="591"/>
      <c r="D115" s="591"/>
      <c r="E115" s="592"/>
      <c r="F115" s="144"/>
      <c r="G115" s="599"/>
      <c r="H115" s="600"/>
      <c r="I115" s="600"/>
      <c r="J115" s="600"/>
      <c r="K115" s="600"/>
      <c r="L115" s="600"/>
      <c r="M115" s="600"/>
      <c r="N115" s="601"/>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row>
    <row r="116" spans="1:51" s="31" customFormat="1" ht="12.75" customHeight="1" x14ac:dyDescent="0.2">
      <c r="A116" s="62"/>
      <c r="B116" s="590"/>
      <c r="C116" s="591"/>
      <c r="D116" s="591"/>
      <c r="E116" s="592"/>
      <c r="F116" s="144"/>
      <c r="G116" s="599"/>
      <c r="H116" s="600"/>
      <c r="I116" s="600"/>
      <c r="J116" s="600"/>
      <c r="K116" s="600"/>
      <c r="L116" s="600"/>
      <c r="M116" s="600"/>
      <c r="N116" s="601"/>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row>
    <row r="117" spans="1:51" s="31" customFormat="1" ht="12.75" customHeight="1" x14ac:dyDescent="0.2">
      <c r="A117" s="62"/>
      <c r="B117" s="590"/>
      <c r="C117" s="591"/>
      <c r="D117" s="591"/>
      <c r="E117" s="592"/>
      <c r="F117" s="144"/>
      <c r="G117" s="599"/>
      <c r="H117" s="600"/>
      <c r="I117" s="600"/>
      <c r="J117" s="600"/>
      <c r="K117" s="600"/>
      <c r="L117" s="600"/>
      <c r="M117" s="600"/>
      <c r="N117" s="601"/>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row>
    <row r="118" spans="1:51" s="31" customFormat="1" ht="12.75" customHeight="1" x14ac:dyDescent="0.2">
      <c r="A118" s="62"/>
      <c r="B118" s="590"/>
      <c r="C118" s="591"/>
      <c r="D118" s="591"/>
      <c r="E118" s="592"/>
      <c r="F118" s="144"/>
      <c r="G118" s="599"/>
      <c r="H118" s="600"/>
      <c r="I118" s="600"/>
      <c r="J118" s="600"/>
      <c r="K118" s="600"/>
      <c r="L118" s="600"/>
      <c r="M118" s="600"/>
      <c r="N118" s="601"/>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row>
    <row r="119" spans="1:51" s="31" customFormat="1" ht="12.75" customHeight="1" x14ac:dyDescent="0.2">
      <c r="A119" s="62"/>
      <c r="B119" s="590"/>
      <c r="C119" s="591"/>
      <c r="D119" s="591"/>
      <c r="E119" s="592"/>
      <c r="F119" s="144"/>
      <c r="G119" s="599"/>
      <c r="H119" s="600"/>
      <c r="I119" s="600"/>
      <c r="J119" s="600"/>
      <c r="K119" s="600"/>
      <c r="L119" s="600"/>
      <c r="M119" s="600"/>
      <c r="N119" s="601"/>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row>
    <row r="120" spans="1:51" s="31" customFormat="1" ht="12.75" customHeight="1" x14ac:dyDescent="0.2">
      <c r="A120" s="62"/>
      <c r="B120" s="590"/>
      <c r="C120" s="591"/>
      <c r="D120" s="591"/>
      <c r="E120" s="592"/>
      <c r="F120" s="144"/>
      <c r="G120" s="599"/>
      <c r="H120" s="600"/>
      <c r="I120" s="600"/>
      <c r="J120" s="600"/>
      <c r="K120" s="600"/>
      <c r="L120" s="600"/>
      <c r="M120" s="600"/>
      <c r="N120" s="601"/>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row>
    <row r="121" spans="1:51" s="31" customFormat="1" ht="12.75" customHeight="1" x14ac:dyDescent="0.2">
      <c r="A121" s="62"/>
      <c r="B121" s="590"/>
      <c r="C121" s="591"/>
      <c r="D121" s="591"/>
      <c r="E121" s="592"/>
      <c r="F121" s="144"/>
      <c r="G121" s="599"/>
      <c r="H121" s="600"/>
      <c r="I121" s="600"/>
      <c r="J121" s="600"/>
      <c r="K121" s="600"/>
      <c r="L121" s="600"/>
      <c r="M121" s="600"/>
      <c r="N121" s="601"/>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row>
    <row r="122" spans="1:51" s="31" customFormat="1" ht="12.75" customHeight="1" x14ac:dyDescent="0.2">
      <c r="A122" s="62"/>
      <c r="B122" s="590"/>
      <c r="C122" s="591"/>
      <c r="D122" s="591"/>
      <c r="E122" s="592"/>
      <c r="F122" s="144"/>
      <c r="G122" s="599"/>
      <c r="H122" s="600"/>
      <c r="I122" s="600"/>
      <c r="J122" s="600"/>
      <c r="K122" s="600"/>
      <c r="L122" s="600"/>
      <c r="M122" s="600"/>
      <c r="N122" s="601"/>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row>
    <row r="123" spans="1:51" s="31" customFormat="1" ht="12.75" customHeight="1" x14ac:dyDescent="0.2">
      <c r="A123" s="62"/>
      <c r="B123" s="590"/>
      <c r="C123" s="591"/>
      <c r="D123" s="591"/>
      <c r="E123" s="592"/>
      <c r="F123" s="144"/>
      <c r="G123" s="599"/>
      <c r="H123" s="600"/>
      <c r="I123" s="600"/>
      <c r="J123" s="600"/>
      <c r="K123" s="600"/>
      <c r="L123" s="600"/>
      <c r="M123" s="600"/>
      <c r="N123" s="601"/>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row>
    <row r="124" spans="1:51" s="31" customFormat="1" ht="12.75" customHeight="1" x14ac:dyDescent="0.2">
      <c r="A124" s="62"/>
      <c r="B124" s="590"/>
      <c r="C124" s="591"/>
      <c r="D124" s="591"/>
      <c r="E124" s="592"/>
      <c r="F124" s="144"/>
      <c r="G124" s="599"/>
      <c r="H124" s="600"/>
      <c r="I124" s="600"/>
      <c r="J124" s="600"/>
      <c r="K124" s="600"/>
      <c r="L124" s="600"/>
      <c r="M124" s="600"/>
      <c r="N124" s="601"/>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row>
    <row r="125" spans="1:51" s="31" customFormat="1" ht="12.75" customHeight="1" x14ac:dyDescent="0.2">
      <c r="A125" s="62"/>
      <c r="B125" s="590"/>
      <c r="C125" s="591"/>
      <c r="D125" s="591"/>
      <c r="E125" s="592"/>
      <c r="F125" s="144"/>
      <c r="G125" s="599"/>
      <c r="H125" s="600"/>
      <c r="I125" s="600"/>
      <c r="J125" s="600"/>
      <c r="K125" s="600"/>
      <c r="L125" s="600"/>
      <c r="M125" s="600"/>
      <c r="N125" s="601"/>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row>
    <row r="126" spans="1:51" s="31" customFormat="1" ht="12.75" customHeight="1" x14ac:dyDescent="0.2">
      <c r="A126" s="62"/>
      <c r="B126" s="593"/>
      <c r="C126" s="594"/>
      <c r="D126" s="594"/>
      <c r="E126" s="595"/>
      <c r="F126" s="144"/>
      <c r="G126" s="602"/>
      <c r="H126" s="603"/>
      <c r="I126" s="603"/>
      <c r="J126" s="603"/>
      <c r="K126" s="603"/>
      <c r="L126" s="603"/>
      <c r="M126" s="603"/>
      <c r="N126" s="604"/>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row>
    <row r="127" spans="1:51" s="31" customFormat="1" x14ac:dyDescent="0.2">
      <c r="A127" s="62"/>
      <c r="B127" s="144"/>
      <c r="C127" s="145" t="str">
        <f>IF($K$5="Deutsch","Photo 2",IF($K$5="English","Photo 2",IF($K$5="Français","Photo 2",IF($K$5="Portugues","Imagem 2",IF($K$5="中文","图片2 ")))))</f>
        <v>Photo 2</v>
      </c>
      <c r="D127" s="144"/>
      <c r="E127" s="144"/>
      <c r="F127" s="144"/>
      <c r="G127" s="144"/>
      <c r="H127" s="144"/>
      <c r="I127" s="62"/>
      <c r="J127" s="62"/>
      <c r="K127" s="62"/>
      <c r="L127" s="62"/>
      <c r="M127" s="62"/>
      <c r="N127" s="62"/>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row>
    <row r="128" spans="1:51" s="31" customFormat="1" x14ac:dyDescent="0.2">
      <c r="A128" s="62"/>
      <c r="B128" s="144"/>
      <c r="C128" s="145"/>
      <c r="D128" s="144"/>
      <c r="E128" s="144"/>
      <c r="F128" s="144"/>
      <c r="G128" s="144"/>
      <c r="H128" s="144"/>
      <c r="I128" s="62"/>
      <c r="J128" s="62"/>
      <c r="K128" s="62"/>
      <c r="L128" s="62"/>
      <c r="M128" s="62"/>
      <c r="N128" s="62"/>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row>
    <row r="129" spans="1:51" s="31" customFormat="1" ht="18" x14ac:dyDescent="0.2">
      <c r="A129" s="62"/>
      <c r="B129" s="587" t="str">
        <f>IF($K$5="Deutsch","Photo 3
Befüllung",IF($K$5="English","Photo 3
Filling",IF($K$5="Français","Photo 3
Remplissage",IF($K$5="Portugues","Imagem 3
Completa",IF($K$5="中文","图片3
 装箱")))))</f>
        <v>Photo 3
Filling</v>
      </c>
      <c r="C129" s="588"/>
      <c r="D129" s="588"/>
      <c r="E129" s="589"/>
      <c r="F129" s="144"/>
      <c r="G129" s="236" t="str">
        <f>IF($K$5="Deutsch","Kommentare Photo 3",IF($K$5="English","Comments Picture 3",IF($K$5="Français","Commentaire photo 3",IF($K$5="Portugues","Comentários imagem 3",IF($K$5="中文","注释 ""图片3")))))</f>
        <v>Comments Picture 3</v>
      </c>
      <c r="H129" s="237"/>
      <c r="I129" s="237"/>
      <c r="J129" s="237"/>
      <c r="K129" s="237"/>
      <c r="L129" s="237"/>
      <c r="M129" s="237"/>
      <c r="N129" s="238"/>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row>
    <row r="130" spans="1:51" s="31" customFormat="1" ht="12.75" customHeight="1" x14ac:dyDescent="0.2">
      <c r="A130" s="62"/>
      <c r="B130" s="590"/>
      <c r="C130" s="591"/>
      <c r="D130" s="591"/>
      <c r="E130" s="592"/>
      <c r="F130" s="144"/>
      <c r="G130" s="596" t="s">
        <v>139</v>
      </c>
      <c r="H130" s="597"/>
      <c r="I130" s="597"/>
      <c r="J130" s="597"/>
      <c r="K130" s="597"/>
      <c r="L130" s="597"/>
      <c r="M130" s="597"/>
      <c r="N130" s="598"/>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row>
    <row r="131" spans="1:51" s="31" customFormat="1" ht="12.75" customHeight="1" x14ac:dyDescent="0.2">
      <c r="A131" s="62"/>
      <c r="B131" s="590"/>
      <c r="C131" s="591"/>
      <c r="D131" s="591"/>
      <c r="E131" s="592"/>
      <c r="F131" s="144"/>
      <c r="G131" s="599"/>
      <c r="H131" s="600"/>
      <c r="I131" s="600"/>
      <c r="J131" s="600"/>
      <c r="K131" s="600"/>
      <c r="L131" s="600"/>
      <c r="M131" s="600"/>
      <c r="N131" s="601"/>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row>
    <row r="132" spans="1:51" s="31" customFormat="1" ht="12.75" customHeight="1" x14ac:dyDescent="0.2">
      <c r="A132" s="62"/>
      <c r="B132" s="590"/>
      <c r="C132" s="591"/>
      <c r="D132" s="591"/>
      <c r="E132" s="592"/>
      <c r="F132" s="144"/>
      <c r="G132" s="599"/>
      <c r="H132" s="600"/>
      <c r="I132" s="600"/>
      <c r="J132" s="600"/>
      <c r="K132" s="600"/>
      <c r="L132" s="600"/>
      <c r="M132" s="600"/>
      <c r="N132" s="601"/>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row>
    <row r="133" spans="1:51" s="31" customFormat="1" ht="12.75" customHeight="1" x14ac:dyDescent="0.2">
      <c r="A133" s="62"/>
      <c r="B133" s="590"/>
      <c r="C133" s="591"/>
      <c r="D133" s="591"/>
      <c r="E133" s="592"/>
      <c r="F133" s="144"/>
      <c r="G133" s="599"/>
      <c r="H133" s="600"/>
      <c r="I133" s="600"/>
      <c r="J133" s="600"/>
      <c r="K133" s="600"/>
      <c r="L133" s="600"/>
      <c r="M133" s="600"/>
      <c r="N133" s="601"/>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row>
    <row r="134" spans="1:51" s="31" customFormat="1" ht="12.75" customHeight="1" x14ac:dyDescent="0.2">
      <c r="A134" s="62"/>
      <c r="B134" s="590"/>
      <c r="C134" s="591"/>
      <c r="D134" s="591"/>
      <c r="E134" s="592"/>
      <c r="F134" s="144"/>
      <c r="G134" s="599"/>
      <c r="H134" s="600"/>
      <c r="I134" s="600"/>
      <c r="J134" s="600"/>
      <c r="K134" s="600"/>
      <c r="L134" s="600"/>
      <c r="M134" s="600"/>
      <c r="N134" s="601"/>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row>
    <row r="135" spans="1:51" s="31" customFormat="1" ht="12.75" customHeight="1" x14ac:dyDescent="0.2">
      <c r="A135" s="62"/>
      <c r="B135" s="590"/>
      <c r="C135" s="591"/>
      <c r="D135" s="591"/>
      <c r="E135" s="592"/>
      <c r="F135" s="144"/>
      <c r="G135" s="599"/>
      <c r="H135" s="600"/>
      <c r="I135" s="600"/>
      <c r="J135" s="600"/>
      <c r="K135" s="600"/>
      <c r="L135" s="600"/>
      <c r="M135" s="600"/>
      <c r="N135" s="601"/>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row>
    <row r="136" spans="1:51" s="31" customFormat="1" ht="12.75" customHeight="1" x14ac:dyDescent="0.2">
      <c r="A136" s="62"/>
      <c r="B136" s="590"/>
      <c r="C136" s="591"/>
      <c r="D136" s="591"/>
      <c r="E136" s="592"/>
      <c r="F136" s="144"/>
      <c r="G136" s="599"/>
      <c r="H136" s="600"/>
      <c r="I136" s="600"/>
      <c r="J136" s="600"/>
      <c r="K136" s="600"/>
      <c r="L136" s="600"/>
      <c r="M136" s="600"/>
      <c r="N136" s="601"/>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row>
    <row r="137" spans="1:51" s="31" customFormat="1" ht="12.75" customHeight="1" x14ac:dyDescent="0.2">
      <c r="A137" s="62"/>
      <c r="B137" s="590"/>
      <c r="C137" s="591"/>
      <c r="D137" s="591"/>
      <c r="E137" s="592"/>
      <c r="F137" s="144"/>
      <c r="G137" s="599"/>
      <c r="H137" s="600"/>
      <c r="I137" s="600"/>
      <c r="J137" s="600"/>
      <c r="K137" s="600"/>
      <c r="L137" s="600"/>
      <c r="M137" s="600"/>
      <c r="N137" s="601"/>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row>
    <row r="138" spans="1:51" s="31" customFormat="1" ht="12.75" customHeight="1" x14ac:dyDescent="0.2">
      <c r="A138" s="62"/>
      <c r="B138" s="590"/>
      <c r="C138" s="591"/>
      <c r="D138" s="591"/>
      <c r="E138" s="592"/>
      <c r="F138" s="144"/>
      <c r="G138" s="599"/>
      <c r="H138" s="600"/>
      <c r="I138" s="600"/>
      <c r="J138" s="600"/>
      <c r="K138" s="600"/>
      <c r="L138" s="600"/>
      <c r="M138" s="600"/>
      <c r="N138" s="601"/>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row>
    <row r="139" spans="1:51" s="31" customFormat="1" ht="12.75" customHeight="1" x14ac:dyDescent="0.2">
      <c r="A139" s="62"/>
      <c r="B139" s="590"/>
      <c r="C139" s="591"/>
      <c r="D139" s="591"/>
      <c r="E139" s="592"/>
      <c r="F139" s="144"/>
      <c r="G139" s="599"/>
      <c r="H139" s="600"/>
      <c r="I139" s="600"/>
      <c r="J139" s="600"/>
      <c r="K139" s="600"/>
      <c r="L139" s="600"/>
      <c r="M139" s="600"/>
      <c r="N139" s="601"/>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row>
    <row r="140" spans="1:51" s="31" customFormat="1" ht="12.75" customHeight="1" x14ac:dyDescent="0.2">
      <c r="A140" s="62"/>
      <c r="B140" s="590"/>
      <c r="C140" s="591"/>
      <c r="D140" s="591"/>
      <c r="E140" s="592"/>
      <c r="F140" s="144"/>
      <c r="G140" s="599"/>
      <c r="H140" s="600"/>
      <c r="I140" s="600"/>
      <c r="J140" s="600"/>
      <c r="K140" s="600"/>
      <c r="L140" s="600"/>
      <c r="M140" s="600"/>
      <c r="N140" s="601"/>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row>
    <row r="141" spans="1:51" s="31" customFormat="1" ht="12.75" customHeight="1" x14ac:dyDescent="0.2">
      <c r="A141" s="62"/>
      <c r="B141" s="590"/>
      <c r="C141" s="591"/>
      <c r="D141" s="591"/>
      <c r="E141" s="592"/>
      <c r="F141" s="144"/>
      <c r="G141" s="599"/>
      <c r="H141" s="600"/>
      <c r="I141" s="600"/>
      <c r="J141" s="600"/>
      <c r="K141" s="600"/>
      <c r="L141" s="600"/>
      <c r="M141" s="600"/>
      <c r="N141" s="601"/>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row>
    <row r="142" spans="1:51" s="31" customFormat="1" ht="12.75" customHeight="1" x14ac:dyDescent="0.2">
      <c r="A142" s="62"/>
      <c r="B142" s="590"/>
      <c r="C142" s="591"/>
      <c r="D142" s="591"/>
      <c r="E142" s="592"/>
      <c r="F142" s="62"/>
      <c r="G142" s="599"/>
      <c r="H142" s="600"/>
      <c r="I142" s="600"/>
      <c r="J142" s="600"/>
      <c r="K142" s="600"/>
      <c r="L142" s="600"/>
      <c r="M142" s="600"/>
      <c r="N142" s="601"/>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row>
    <row r="143" spans="1:51" s="31" customFormat="1" ht="12.75" customHeight="1" x14ac:dyDescent="0.2">
      <c r="A143" s="62"/>
      <c r="B143" s="590"/>
      <c r="C143" s="591"/>
      <c r="D143" s="591"/>
      <c r="E143" s="592"/>
      <c r="F143" s="62"/>
      <c r="G143" s="599"/>
      <c r="H143" s="600"/>
      <c r="I143" s="600"/>
      <c r="J143" s="600"/>
      <c r="K143" s="600"/>
      <c r="L143" s="600"/>
      <c r="M143" s="600"/>
      <c r="N143" s="601"/>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row>
    <row r="144" spans="1:51" s="31" customFormat="1" ht="12.75" customHeight="1" x14ac:dyDescent="0.2">
      <c r="A144" s="62"/>
      <c r="B144" s="590"/>
      <c r="C144" s="591"/>
      <c r="D144" s="591"/>
      <c r="E144" s="592"/>
      <c r="F144" s="62"/>
      <c r="G144" s="599"/>
      <c r="H144" s="600"/>
      <c r="I144" s="600"/>
      <c r="J144" s="600"/>
      <c r="K144" s="600"/>
      <c r="L144" s="600"/>
      <c r="M144" s="600"/>
      <c r="N144" s="601"/>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row>
    <row r="145" spans="1:51" s="31" customFormat="1" ht="12.75" customHeight="1" x14ac:dyDescent="0.2">
      <c r="A145" s="62"/>
      <c r="B145" s="590"/>
      <c r="C145" s="591"/>
      <c r="D145" s="591"/>
      <c r="E145" s="592"/>
      <c r="F145" s="62"/>
      <c r="G145" s="599"/>
      <c r="H145" s="600"/>
      <c r="I145" s="600"/>
      <c r="J145" s="600"/>
      <c r="K145" s="600"/>
      <c r="L145" s="600"/>
      <c r="M145" s="600"/>
      <c r="N145" s="601"/>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row>
    <row r="146" spans="1:51" s="31" customFormat="1" ht="12.75" customHeight="1" x14ac:dyDescent="0.2">
      <c r="A146" s="62"/>
      <c r="B146" s="593"/>
      <c r="C146" s="594"/>
      <c r="D146" s="594"/>
      <c r="E146" s="595"/>
      <c r="F146" s="62"/>
      <c r="G146" s="602"/>
      <c r="H146" s="603"/>
      <c r="I146" s="603"/>
      <c r="J146" s="603"/>
      <c r="K146" s="603"/>
      <c r="L146" s="603"/>
      <c r="M146" s="603"/>
      <c r="N146" s="604"/>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row>
    <row r="147" spans="1:51" s="31" customFormat="1" x14ac:dyDescent="0.2">
      <c r="A147" s="62"/>
      <c r="B147" s="144"/>
      <c r="C147" s="145" t="str">
        <f>IF($K$5="Deutsch","Photo 3 ",IF($K$5="English","Photo 3",IF($K$5="Français","Photo 3",IF($K$5="Portugues","Imagem 3",IF($K$5="中文","图片3 ")))))</f>
        <v>Photo 3</v>
      </c>
      <c r="D147" s="144"/>
      <c r="E147" s="144"/>
      <c r="F147" s="62"/>
      <c r="G147" s="62"/>
      <c r="H147" s="62"/>
      <c r="I147" s="62"/>
      <c r="J147" s="62"/>
      <c r="K147" s="62"/>
      <c r="L147" s="62"/>
      <c r="M147" s="62"/>
      <c r="N147" s="62"/>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row>
    <row r="148" spans="1:51" s="31" customFormat="1" x14ac:dyDescent="0.2">
      <c r="A148" s="62"/>
      <c r="B148" s="62"/>
      <c r="C148" s="62"/>
      <c r="D148" s="62"/>
      <c r="E148" s="62"/>
      <c r="F148" s="62"/>
      <c r="G148" s="62"/>
      <c r="H148" s="62"/>
      <c r="I148" s="62"/>
      <c r="J148" s="62"/>
      <c r="K148" s="62"/>
      <c r="L148" s="62"/>
      <c r="M148" s="62"/>
      <c r="N148" s="62"/>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row>
    <row r="149" spans="1:51" s="31" customFormat="1" ht="18" x14ac:dyDescent="0.2">
      <c r="A149" s="62"/>
      <c r="B149" s="587" t="str">
        <f>IF($K$5="Deutsch","Photo 4
Versandbereit",IF($K$5="English","Photo 4
Ready for shipment",IF($K$5="Français","Photo 4
Prets à l'envoi",IF($K$5="Portugues","Imagem 4
Preparada para Envio",IF($K$5="中文","图片4
准备发货")))))</f>
        <v>Photo 4
Ready for shipment</v>
      </c>
      <c r="C149" s="588"/>
      <c r="D149" s="588"/>
      <c r="E149" s="589"/>
      <c r="F149" s="62"/>
      <c r="G149" s="236" t="str">
        <f>IF($K$5="Deutsch","Kommentare Photo 4",IF($K$5="English","Comments Picture 4",IF($K$5="Français","Commentaire photo 4",IF($K$5="Portugues","Comentários imagem 4",IF($K$5="中文","注释 ""图片4")))))</f>
        <v>Comments Picture 4</v>
      </c>
      <c r="H149" s="237"/>
      <c r="I149" s="237"/>
      <c r="J149" s="237"/>
      <c r="K149" s="237"/>
      <c r="L149" s="237"/>
      <c r="M149" s="237"/>
      <c r="N149" s="238"/>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row>
    <row r="150" spans="1:51" s="31" customFormat="1" ht="12.75" customHeight="1" x14ac:dyDescent="0.2">
      <c r="A150" s="62"/>
      <c r="B150" s="590"/>
      <c r="C150" s="591"/>
      <c r="D150" s="591"/>
      <c r="E150" s="592"/>
      <c r="F150" s="62"/>
      <c r="G150" s="596" t="s">
        <v>140</v>
      </c>
      <c r="H150" s="597"/>
      <c r="I150" s="597"/>
      <c r="J150" s="597"/>
      <c r="K150" s="597"/>
      <c r="L150" s="597"/>
      <c r="M150" s="597"/>
      <c r="N150" s="598"/>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row>
    <row r="151" spans="1:51" s="31" customFormat="1" ht="12.75" customHeight="1" x14ac:dyDescent="0.2">
      <c r="A151" s="62"/>
      <c r="B151" s="590"/>
      <c r="C151" s="591"/>
      <c r="D151" s="591"/>
      <c r="E151" s="592"/>
      <c r="F151" s="62"/>
      <c r="G151" s="599"/>
      <c r="H151" s="600"/>
      <c r="I151" s="600"/>
      <c r="J151" s="600"/>
      <c r="K151" s="600"/>
      <c r="L151" s="600"/>
      <c r="M151" s="600"/>
      <c r="N151" s="601"/>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row>
    <row r="152" spans="1:51" s="31" customFormat="1" ht="12.75" customHeight="1" x14ac:dyDescent="0.2">
      <c r="A152" s="62"/>
      <c r="B152" s="590"/>
      <c r="C152" s="591"/>
      <c r="D152" s="591"/>
      <c r="E152" s="592"/>
      <c r="F152" s="62"/>
      <c r="G152" s="599"/>
      <c r="H152" s="600"/>
      <c r="I152" s="600"/>
      <c r="J152" s="600"/>
      <c r="K152" s="600"/>
      <c r="L152" s="600"/>
      <c r="M152" s="600"/>
      <c r="N152" s="601"/>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row>
    <row r="153" spans="1:51" s="31" customFormat="1" ht="12.75" customHeight="1" x14ac:dyDescent="0.2">
      <c r="A153" s="62"/>
      <c r="B153" s="590"/>
      <c r="C153" s="591"/>
      <c r="D153" s="591"/>
      <c r="E153" s="592"/>
      <c r="F153" s="62"/>
      <c r="G153" s="599"/>
      <c r="H153" s="600"/>
      <c r="I153" s="600"/>
      <c r="J153" s="600"/>
      <c r="K153" s="600"/>
      <c r="L153" s="600"/>
      <c r="M153" s="600"/>
      <c r="N153" s="601"/>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row>
    <row r="154" spans="1:51" s="31" customFormat="1" ht="12.75" customHeight="1" x14ac:dyDescent="0.2">
      <c r="A154" s="62"/>
      <c r="B154" s="590"/>
      <c r="C154" s="591"/>
      <c r="D154" s="591"/>
      <c r="E154" s="592"/>
      <c r="F154" s="62"/>
      <c r="G154" s="599"/>
      <c r="H154" s="600"/>
      <c r="I154" s="600"/>
      <c r="J154" s="600"/>
      <c r="K154" s="600"/>
      <c r="L154" s="600"/>
      <c r="M154" s="600"/>
      <c r="N154" s="601"/>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row>
    <row r="155" spans="1:51" s="31" customFormat="1" ht="12.75" customHeight="1" x14ac:dyDescent="0.2">
      <c r="A155" s="62"/>
      <c r="B155" s="590"/>
      <c r="C155" s="591"/>
      <c r="D155" s="591"/>
      <c r="E155" s="592"/>
      <c r="F155" s="62"/>
      <c r="G155" s="599"/>
      <c r="H155" s="600"/>
      <c r="I155" s="600"/>
      <c r="J155" s="600"/>
      <c r="K155" s="600"/>
      <c r="L155" s="600"/>
      <c r="M155" s="600"/>
      <c r="N155" s="601"/>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row>
    <row r="156" spans="1:51" s="31" customFormat="1" ht="12.75" customHeight="1" x14ac:dyDescent="0.2">
      <c r="A156" s="62"/>
      <c r="B156" s="590"/>
      <c r="C156" s="591"/>
      <c r="D156" s="591"/>
      <c r="E156" s="592"/>
      <c r="F156" s="62"/>
      <c r="G156" s="599"/>
      <c r="H156" s="600"/>
      <c r="I156" s="600"/>
      <c r="J156" s="600"/>
      <c r="K156" s="600"/>
      <c r="L156" s="600"/>
      <c r="M156" s="600"/>
      <c r="N156" s="601"/>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row>
    <row r="157" spans="1:51" s="31" customFormat="1" ht="12.75" customHeight="1" x14ac:dyDescent="0.2">
      <c r="A157" s="62"/>
      <c r="B157" s="590"/>
      <c r="C157" s="591"/>
      <c r="D157" s="591"/>
      <c r="E157" s="592"/>
      <c r="F157" s="62"/>
      <c r="G157" s="599"/>
      <c r="H157" s="600"/>
      <c r="I157" s="600"/>
      <c r="J157" s="600"/>
      <c r="K157" s="600"/>
      <c r="L157" s="600"/>
      <c r="M157" s="600"/>
      <c r="N157" s="601"/>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row>
    <row r="158" spans="1:51" s="31" customFormat="1" ht="12.75" customHeight="1" x14ac:dyDescent="0.2">
      <c r="A158" s="62"/>
      <c r="B158" s="590"/>
      <c r="C158" s="591"/>
      <c r="D158" s="591"/>
      <c r="E158" s="592"/>
      <c r="F158" s="62"/>
      <c r="G158" s="599"/>
      <c r="H158" s="600"/>
      <c r="I158" s="600"/>
      <c r="J158" s="600"/>
      <c r="K158" s="600"/>
      <c r="L158" s="600"/>
      <c r="M158" s="600"/>
      <c r="N158" s="601"/>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row>
    <row r="159" spans="1:51" s="31" customFormat="1" ht="12.75" customHeight="1" x14ac:dyDescent="0.2">
      <c r="A159" s="62"/>
      <c r="B159" s="590"/>
      <c r="C159" s="591"/>
      <c r="D159" s="591"/>
      <c r="E159" s="592"/>
      <c r="F159" s="62"/>
      <c r="G159" s="599"/>
      <c r="H159" s="600"/>
      <c r="I159" s="600"/>
      <c r="J159" s="600"/>
      <c r="K159" s="600"/>
      <c r="L159" s="600"/>
      <c r="M159" s="600"/>
      <c r="N159" s="601"/>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row>
    <row r="160" spans="1:51" s="31" customFormat="1" ht="12.75" customHeight="1" x14ac:dyDescent="0.2">
      <c r="A160" s="62"/>
      <c r="B160" s="590"/>
      <c r="C160" s="591"/>
      <c r="D160" s="591"/>
      <c r="E160" s="592"/>
      <c r="F160" s="62"/>
      <c r="G160" s="599"/>
      <c r="H160" s="600"/>
      <c r="I160" s="600"/>
      <c r="J160" s="600"/>
      <c r="K160" s="600"/>
      <c r="L160" s="600"/>
      <c r="M160" s="600"/>
      <c r="N160" s="601"/>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row>
    <row r="161" spans="1:51" s="31" customFormat="1" ht="12.75" customHeight="1" x14ac:dyDescent="0.2">
      <c r="A161" s="62"/>
      <c r="B161" s="590"/>
      <c r="C161" s="591"/>
      <c r="D161" s="591"/>
      <c r="E161" s="592"/>
      <c r="F161" s="62"/>
      <c r="G161" s="599"/>
      <c r="H161" s="600"/>
      <c r="I161" s="600"/>
      <c r="J161" s="600"/>
      <c r="K161" s="600"/>
      <c r="L161" s="600"/>
      <c r="M161" s="600"/>
      <c r="N161" s="601"/>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row>
    <row r="162" spans="1:51" s="31" customFormat="1" ht="12.75" customHeight="1" x14ac:dyDescent="0.2">
      <c r="A162" s="62"/>
      <c r="B162" s="590"/>
      <c r="C162" s="591"/>
      <c r="D162" s="591"/>
      <c r="E162" s="592"/>
      <c r="F162" s="62"/>
      <c r="G162" s="599"/>
      <c r="H162" s="600"/>
      <c r="I162" s="600"/>
      <c r="J162" s="600"/>
      <c r="K162" s="600"/>
      <c r="L162" s="600"/>
      <c r="M162" s="600"/>
      <c r="N162" s="601"/>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row>
    <row r="163" spans="1:51" s="31" customFormat="1" ht="12.75" customHeight="1" x14ac:dyDescent="0.2">
      <c r="A163" s="62"/>
      <c r="B163" s="590"/>
      <c r="C163" s="591"/>
      <c r="D163" s="591"/>
      <c r="E163" s="592"/>
      <c r="F163" s="62"/>
      <c r="G163" s="599"/>
      <c r="H163" s="600"/>
      <c r="I163" s="600"/>
      <c r="J163" s="600"/>
      <c r="K163" s="600"/>
      <c r="L163" s="600"/>
      <c r="M163" s="600"/>
      <c r="N163" s="601"/>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row>
    <row r="164" spans="1:51" s="31" customFormat="1" ht="12.75" customHeight="1" x14ac:dyDescent="0.2">
      <c r="A164" s="62"/>
      <c r="B164" s="590"/>
      <c r="C164" s="591"/>
      <c r="D164" s="591"/>
      <c r="E164" s="592"/>
      <c r="F164" s="62"/>
      <c r="G164" s="599"/>
      <c r="H164" s="600"/>
      <c r="I164" s="600"/>
      <c r="J164" s="600"/>
      <c r="K164" s="600"/>
      <c r="L164" s="600"/>
      <c r="M164" s="600"/>
      <c r="N164" s="601"/>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row>
    <row r="165" spans="1:51" s="31" customFormat="1" ht="12.75" customHeight="1" x14ac:dyDescent="0.2">
      <c r="A165" s="62"/>
      <c r="B165" s="590"/>
      <c r="C165" s="591"/>
      <c r="D165" s="591"/>
      <c r="E165" s="592"/>
      <c r="F165" s="62"/>
      <c r="G165" s="599"/>
      <c r="H165" s="600"/>
      <c r="I165" s="600"/>
      <c r="J165" s="600"/>
      <c r="K165" s="600"/>
      <c r="L165" s="600"/>
      <c r="M165" s="600"/>
      <c r="N165" s="601"/>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row>
    <row r="166" spans="1:51" s="31" customFormat="1" ht="12.75" customHeight="1" x14ac:dyDescent="0.2">
      <c r="A166" s="62"/>
      <c r="B166" s="593"/>
      <c r="C166" s="594"/>
      <c r="D166" s="594"/>
      <c r="E166" s="595"/>
      <c r="F166" s="62"/>
      <c r="G166" s="602"/>
      <c r="H166" s="603"/>
      <c r="I166" s="603"/>
      <c r="J166" s="603"/>
      <c r="K166" s="603"/>
      <c r="L166" s="603"/>
      <c r="M166" s="603"/>
      <c r="N166" s="604"/>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row>
    <row r="167" spans="1:51" s="31" customFormat="1" x14ac:dyDescent="0.2">
      <c r="A167" s="62"/>
      <c r="B167" s="144"/>
      <c r="C167" s="145" t="str">
        <f>IF($K$5="Deutsch","Photo 4 ",IF($K$5="English","Photo 4",IF($K$5="Français","Photo 4",IF($K$5="Portugues","Imagem 4",IF($K$5="中文","图片4 ")))))</f>
        <v>Photo 4</v>
      </c>
      <c r="D167" s="144"/>
      <c r="E167" s="144"/>
      <c r="F167" s="62"/>
      <c r="G167" s="62"/>
      <c r="H167" s="62"/>
      <c r="I167" s="62"/>
      <c r="J167" s="62"/>
      <c r="K167" s="62"/>
      <c r="L167" s="62"/>
      <c r="M167" s="62"/>
      <c r="N167" s="62"/>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row>
    <row r="168" spans="1:51" s="31" customFormat="1" x14ac:dyDescent="0.2">
      <c r="A168" s="62"/>
      <c r="B168" s="62"/>
      <c r="C168" s="62"/>
      <c r="D168" s="62"/>
      <c r="E168" s="62"/>
      <c r="F168" s="62"/>
      <c r="G168" s="62"/>
      <c r="H168" s="62"/>
      <c r="I168" s="62"/>
      <c r="J168" s="62"/>
      <c r="K168" s="62"/>
      <c r="L168" s="62"/>
      <c r="M168" s="62"/>
      <c r="N168" s="62"/>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row>
    <row r="169" spans="1:51" s="31" customFormat="1" ht="12.75" customHeight="1" x14ac:dyDescent="0.2">
      <c r="A169" s="62"/>
      <c r="B169" s="587" t="str">
        <f>IF($K$5="Deutsch","Photo 5
Leergutrückführung",IF($K$5="English","Photo 5
Empties return",IF($K$5="Français","Photo 5
Reour des vides",IF($K$5="Portugues","Imagem 5
Vazia para Retorno",IF($K$5="中文","图片5
空箱返回")))))</f>
        <v>Photo 5
Empties return</v>
      </c>
      <c r="C169" s="588"/>
      <c r="D169" s="588"/>
      <c r="E169" s="589"/>
      <c r="F169" s="62"/>
      <c r="G169" s="236" t="str">
        <f>IF($K$5="Deutsch","Kommentare Photo 5",IF($K$5="English","Comments Picture 5",IF($K$5="Français","Commentaire photo 5",IF($K$5="Portugues","Comentários imagem 5",IF($K$5="中文","注释 ""图片5")))))</f>
        <v>Comments Picture 5</v>
      </c>
      <c r="H169" s="237"/>
      <c r="I169" s="237"/>
      <c r="J169" s="237"/>
      <c r="K169" s="237"/>
      <c r="L169" s="237"/>
      <c r="M169" s="237"/>
      <c r="N169" s="238"/>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row>
    <row r="170" spans="1:51" s="31" customFormat="1" ht="12.75" customHeight="1" x14ac:dyDescent="0.2">
      <c r="A170" s="62"/>
      <c r="B170" s="590"/>
      <c r="C170" s="591"/>
      <c r="D170" s="591"/>
      <c r="E170" s="592"/>
      <c r="F170" s="62"/>
      <c r="G170" s="596" t="s">
        <v>141</v>
      </c>
      <c r="H170" s="597"/>
      <c r="I170" s="597"/>
      <c r="J170" s="597"/>
      <c r="K170" s="597"/>
      <c r="L170" s="597"/>
      <c r="M170" s="597"/>
      <c r="N170" s="598"/>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row>
    <row r="171" spans="1:51" s="31" customFormat="1" ht="12.75" customHeight="1" x14ac:dyDescent="0.2">
      <c r="A171" s="62"/>
      <c r="B171" s="590"/>
      <c r="C171" s="591"/>
      <c r="D171" s="591"/>
      <c r="E171" s="592"/>
      <c r="F171" s="62"/>
      <c r="G171" s="599"/>
      <c r="H171" s="600"/>
      <c r="I171" s="600"/>
      <c r="J171" s="600"/>
      <c r="K171" s="600"/>
      <c r="L171" s="600"/>
      <c r="M171" s="600"/>
      <c r="N171" s="601"/>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row>
    <row r="172" spans="1:51" s="31" customFormat="1" ht="12.75" customHeight="1" x14ac:dyDescent="0.2">
      <c r="A172" s="62"/>
      <c r="B172" s="590"/>
      <c r="C172" s="591"/>
      <c r="D172" s="591"/>
      <c r="E172" s="592"/>
      <c r="F172" s="62"/>
      <c r="G172" s="599"/>
      <c r="H172" s="600"/>
      <c r="I172" s="600"/>
      <c r="J172" s="600"/>
      <c r="K172" s="600"/>
      <c r="L172" s="600"/>
      <c r="M172" s="600"/>
      <c r="N172" s="601"/>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row>
    <row r="173" spans="1:51" s="31" customFormat="1" ht="12.75" customHeight="1" x14ac:dyDescent="0.2">
      <c r="A173" s="62"/>
      <c r="B173" s="590"/>
      <c r="C173" s="591"/>
      <c r="D173" s="591"/>
      <c r="E173" s="592"/>
      <c r="F173" s="62"/>
      <c r="G173" s="599"/>
      <c r="H173" s="600"/>
      <c r="I173" s="600"/>
      <c r="J173" s="600"/>
      <c r="K173" s="600"/>
      <c r="L173" s="600"/>
      <c r="M173" s="600"/>
      <c r="N173" s="601"/>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row>
    <row r="174" spans="1:51" s="31" customFormat="1" ht="12.75" customHeight="1" x14ac:dyDescent="0.2">
      <c r="A174" s="62"/>
      <c r="B174" s="590"/>
      <c r="C174" s="591"/>
      <c r="D174" s="591"/>
      <c r="E174" s="592"/>
      <c r="F174" s="62"/>
      <c r="G174" s="599"/>
      <c r="H174" s="600"/>
      <c r="I174" s="600"/>
      <c r="J174" s="600"/>
      <c r="K174" s="600"/>
      <c r="L174" s="600"/>
      <c r="M174" s="600"/>
      <c r="N174" s="601"/>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row>
    <row r="175" spans="1:51" s="31" customFormat="1" ht="12.75" customHeight="1" x14ac:dyDescent="0.2">
      <c r="A175" s="62"/>
      <c r="B175" s="590"/>
      <c r="C175" s="591"/>
      <c r="D175" s="591"/>
      <c r="E175" s="592"/>
      <c r="F175" s="62"/>
      <c r="G175" s="599"/>
      <c r="H175" s="600"/>
      <c r="I175" s="600"/>
      <c r="J175" s="600"/>
      <c r="K175" s="600"/>
      <c r="L175" s="600"/>
      <c r="M175" s="600"/>
      <c r="N175" s="601"/>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row>
    <row r="176" spans="1:51" s="31" customFormat="1" ht="12.75" customHeight="1" x14ac:dyDescent="0.2">
      <c r="A176" s="62"/>
      <c r="B176" s="590"/>
      <c r="C176" s="591"/>
      <c r="D176" s="591"/>
      <c r="E176" s="592"/>
      <c r="F176" s="62"/>
      <c r="G176" s="599"/>
      <c r="H176" s="600"/>
      <c r="I176" s="600"/>
      <c r="J176" s="600"/>
      <c r="K176" s="600"/>
      <c r="L176" s="600"/>
      <c r="M176" s="600"/>
      <c r="N176" s="601"/>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row>
    <row r="177" spans="1:51" s="31" customFormat="1" ht="12.75" customHeight="1" x14ac:dyDescent="0.2">
      <c r="A177" s="62"/>
      <c r="B177" s="590"/>
      <c r="C177" s="591"/>
      <c r="D177" s="591"/>
      <c r="E177" s="592"/>
      <c r="F177" s="62"/>
      <c r="G177" s="599"/>
      <c r="H177" s="600"/>
      <c r="I177" s="600"/>
      <c r="J177" s="600"/>
      <c r="K177" s="600"/>
      <c r="L177" s="600"/>
      <c r="M177" s="600"/>
      <c r="N177" s="601"/>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row>
    <row r="178" spans="1:51" s="31" customFormat="1" ht="12.75" customHeight="1" x14ac:dyDescent="0.2">
      <c r="A178" s="62"/>
      <c r="B178" s="590"/>
      <c r="C178" s="591"/>
      <c r="D178" s="591"/>
      <c r="E178" s="592"/>
      <c r="F178" s="62"/>
      <c r="G178" s="599"/>
      <c r="H178" s="600"/>
      <c r="I178" s="600"/>
      <c r="J178" s="600"/>
      <c r="K178" s="600"/>
      <c r="L178" s="600"/>
      <c r="M178" s="600"/>
      <c r="N178" s="601"/>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row>
    <row r="179" spans="1:51" s="31" customFormat="1" ht="12.75" customHeight="1" x14ac:dyDescent="0.2">
      <c r="A179" s="62"/>
      <c r="B179" s="590"/>
      <c r="C179" s="591"/>
      <c r="D179" s="591"/>
      <c r="E179" s="592"/>
      <c r="F179" s="62"/>
      <c r="G179" s="599"/>
      <c r="H179" s="600"/>
      <c r="I179" s="600"/>
      <c r="J179" s="600"/>
      <c r="K179" s="600"/>
      <c r="L179" s="600"/>
      <c r="M179" s="600"/>
      <c r="N179" s="601"/>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row>
    <row r="180" spans="1:51" s="31" customFormat="1" ht="12.75" customHeight="1" x14ac:dyDescent="0.2">
      <c r="A180" s="62"/>
      <c r="B180" s="590"/>
      <c r="C180" s="591"/>
      <c r="D180" s="591"/>
      <c r="E180" s="592"/>
      <c r="F180" s="62"/>
      <c r="G180" s="599"/>
      <c r="H180" s="600"/>
      <c r="I180" s="600"/>
      <c r="J180" s="600"/>
      <c r="K180" s="600"/>
      <c r="L180" s="600"/>
      <c r="M180" s="600"/>
      <c r="N180" s="601"/>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row>
    <row r="181" spans="1:51" s="31" customFormat="1" ht="12.75" customHeight="1" x14ac:dyDescent="0.2">
      <c r="A181" s="62"/>
      <c r="B181" s="590"/>
      <c r="C181" s="591"/>
      <c r="D181" s="591"/>
      <c r="E181" s="592"/>
      <c r="F181" s="62"/>
      <c r="G181" s="599"/>
      <c r="H181" s="600"/>
      <c r="I181" s="600"/>
      <c r="J181" s="600"/>
      <c r="K181" s="600"/>
      <c r="L181" s="600"/>
      <c r="M181" s="600"/>
      <c r="N181" s="601"/>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row>
    <row r="182" spans="1:51" s="31" customFormat="1" ht="12.75" customHeight="1" x14ac:dyDescent="0.2">
      <c r="A182" s="62"/>
      <c r="B182" s="590"/>
      <c r="C182" s="591"/>
      <c r="D182" s="591"/>
      <c r="E182" s="592"/>
      <c r="F182" s="62"/>
      <c r="G182" s="599"/>
      <c r="H182" s="600"/>
      <c r="I182" s="600"/>
      <c r="J182" s="600"/>
      <c r="K182" s="600"/>
      <c r="L182" s="600"/>
      <c r="M182" s="600"/>
      <c r="N182" s="601"/>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row>
    <row r="183" spans="1:51" s="31" customFormat="1" ht="12.75" customHeight="1" x14ac:dyDescent="0.2">
      <c r="A183" s="62"/>
      <c r="B183" s="590"/>
      <c r="C183" s="591"/>
      <c r="D183" s="591"/>
      <c r="E183" s="592"/>
      <c r="F183" s="62"/>
      <c r="G183" s="599"/>
      <c r="H183" s="600"/>
      <c r="I183" s="600"/>
      <c r="J183" s="600"/>
      <c r="K183" s="600"/>
      <c r="L183" s="600"/>
      <c r="M183" s="600"/>
      <c r="N183" s="601"/>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row>
    <row r="184" spans="1:51" s="31" customFormat="1" ht="12.75" customHeight="1" x14ac:dyDescent="0.2">
      <c r="A184" s="62"/>
      <c r="B184" s="590"/>
      <c r="C184" s="591"/>
      <c r="D184" s="591"/>
      <c r="E184" s="592"/>
      <c r="F184" s="62"/>
      <c r="G184" s="599"/>
      <c r="H184" s="600"/>
      <c r="I184" s="600"/>
      <c r="J184" s="600"/>
      <c r="K184" s="600"/>
      <c r="L184" s="600"/>
      <c r="M184" s="600"/>
      <c r="N184" s="601"/>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row>
    <row r="185" spans="1:51" s="31" customFormat="1" ht="12.75" customHeight="1" x14ac:dyDescent="0.2">
      <c r="A185" s="62"/>
      <c r="B185" s="590"/>
      <c r="C185" s="591"/>
      <c r="D185" s="591"/>
      <c r="E185" s="592"/>
      <c r="F185" s="62"/>
      <c r="G185" s="599"/>
      <c r="H185" s="600"/>
      <c r="I185" s="600"/>
      <c r="J185" s="600"/>
      <c r="K185" s="600"/>
      <c r="L185" s="600"/>
      <c r="M185" s="600"/>
      <c r="N185" s="601"/>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row>
    <row r="186" spans="1:51" s="31" customFormat="1" ht="12.75" customHeight="1" x14ac:dyDescent="0.2">
      <c r="A186" s="62"/>
      <c r="B186" s="593"/>
      <c r="C186" s="594"/>
      <c r="D186" s="594"/>
      <c r="E186" s="595"/>
      <c r="F186" s="62"/>
      <c r="G186" s="602"/>
      <c r="H186" s="603"/>
      <c r="I186" s="603"/>
      <c r="J186" s="603"/>
      <c r="K186" s="603"/>
      <c r="L186" s="603"/>
      <c r="M186" s="603"/>
      <c r="N186" s="604"/>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row>
    <row r="187" spans="1:51" s="31" customFormat="1" x14ac:dyDescent="0.2">
      <c r="A187" s="62"/>
      <c r="B187" s="98"/>
      <c r="C187" s="99" t="str">
        <f>IF($K$5="Deutsch","Photo 5 ",IF($K$5="English","Photo 5",IF($K$5="Français","Photo 5",IF($K$5="Portugues","Imagem 5",IF($K$5="中文","图片5")))))</f>
        <v>Photo 5</v>
      </c>
      <c r="D187" s="98"/>
      <c r="E187" s="98"/>
      <c r="N187" s="62"/>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row>
    <row r="188" spans="1:51" s="31" customFormat="1" x14ac:dyDescent="0.2">
      <c r="A188" s="62"/>
      <c r="M188" s="92" t="str">
        <f>IF($K$5="Deutsch","Seite",IF($K$5="English","Page",IF($K$5="Français","Page",IF($K$5="Portugues","Pagina",IF($K$5="中文","page",IF($K$5="हिन्दी","page"))))))</f>
        <v>Page</v>
      </c>
      <c r="N188" s="93" t="s">
        <v>64</v>
      </c>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row>
    <row r="189" spans="1:51" s="31" customFormat="1" x14ac:dyDescent="0.2">
      <c r="A189" s="62"/>
      <c r="N189" s="62"/>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row>
    <row r="190" spans="1:51" s="31" customFormat="1" x14ac:dyDescent="0.2">
      <c r="A190" s="62"/>
      <c r="B190" s="82"/>
      <c r="C190" s="82"/>
      <c r="D190" s="82"/>
      <c r="E190" s="82"/>
      <c r="F190" s="82"/>
      <c r="G190" s="82"/>
      <c r="H190" s="82"/>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row>
    <row r="191" spans="1:51" s="31" customFormat="1" ht="14.25" customHeight="1" x14ac:dyDescent="0.2">
      <c r="A191" s="62"/>
      <c r="I191" s="83"/>
      <c r="J191" s="62"/>
      <c r="K191" s="62"/>
      <c r="L191" s="62"/>
      <c r="M191" s="62"/>
      <c r="N191" s="62"/>
      <c r="O191" s="160"/>
      <c r="P191" s="160"/>
      <c r="Q191" s="160"/>
      <c r="R191" s="160"/>
      <c r="S191" s="160"/>
      <c r="T191" s="160" t="s">
        <v>52</v>
      </c>
      <c r="U191" s="160" t="e">
        <f>#REF!+1</f>
        <v>#REF!</v>
      </c>
      <c r="V191" s="164"/>
      <c r="W191" s="160" t="s">
        <v>52</v>
      </c>
      <c r="X191" s="160" t="e">
        <f>#REF!+1</f>
        <v>#REF!</v>
      </c>
      <c r="Y191" s="164"/>
      <c r="Z191" s="160"/>
      <c r="AA191" s="160" t="s">
        <v>52</v>
      </c>
      <c r="AB191" s="160" t="e">
        <f>#REF!+1</f>
        <v>#REF!</v>
      </c>
      <c r="AC191" s="164"/>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row>
    <row r="192" spans="1:51" s="31" customFormat="1" ht="14.25" customHeight="1" x14ac:dyDescent="0.2">
      <c r="A192" s="62"/>
      <c r="I192" s="82"/>
      <c r="J192" s="62"/>
      <c r="K192" s="62"/>
      <c r="L192" s="62"/>
      <c r="M192" s="62"/>
      <c r="N192" s="62"/>
      <c r="O192" s="160"/>
      <c r="P192" s="160"/>
      <c r="Q192" s="160"/>
      <c r="R192" s="160"/>
      <c r="S192" s="160"/>
      <c r="T192" s="160" t="s">
        <v>52</v>
      </c>
      <c r="U192" s="160" t="e">
        <f>U191+1</f>
        <v>#REF!</v>
      </c>
      <c r="V192" s="164"/>
      <c r="W192" s="160" t="s">
        <v>52</v>
      </c>
      <c r="X192" s="160" t="e">
        <f>X191+1</f>
        <v>#REF!</v>
      </c>
      <c r="Y192" s="164"/>
      <c r="Z192" s="160"/>
      <c r="AA192" s="160" t="s">
        <v>52</v>
      </c>
      <c r="AB192" s="160" t="e">
        <f>AB191+1</f>
        <v>#REF!</v>
      </c>
      <c r="AC192" s="164"/>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row>
    <row r="193" spans="1:51" s="31" customFormat="1" ht="14.25" customHeight="1" x14ac:dyDescent="0.2">
      <c r="A193" s="62"/>
      <c r="I193" s="172"/>
      <c r="J193" s="172"/>
      <c r="K193" s="209"/>
      <c r="L193" s="210"/>
      <c r="M193" s="210"/>
      <c r="N193" s="62"/>
      <c r="O193" s="160"/>
      <c r="P193" s="160"/>
      <c r="Q193" s="160"/>
      <c r="R193" s="160"/>
      <c r="S193" s="160"/>
      <c r="T193" s="160" t="s">
        <v>52</v>
      </c>
      <c r="U193" s="160" t="e">
        <f>U192+1</f>
        <v>#REF!</v>
      </c>
      <c r="V193" s="164"/>
      <c r="W193" s="160" t="s">
        <v>52</v>
      </c>
      <c r="X193" s="160" t="e">
        <f>X192+1</f>
        <v>#REF!</v>
      </c>
      <c r="Y193" s="164"/>
      <c r="Z193" s="160"/>
      <c r="AA193" s="160" t="s">
        <v>52</v>
      </c>
      <c r="AB193" s="160" t="e">
        <f>AB192+1</f>
        <v>#REF!</v>
      </c>
      <c r="AC193" s="164"/>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row>
    <row r="194" spans="1:51" s="31" customFormat="1" ht="14.25" customHeight="1" x14ac:dyDescent="0.2">
      <c r="A194" s="62"/>
      <c r="I194" s="172"/>
      <c r="J194" s="172"/>
      <c r="K194" s="210"/>
      <c r="L194" s="210"/>
      <c r="M194" s="210"/>
      <c r="N194" s="62"/>
      <c r="O194" s="160"/>
      <c r="P194" s="160"/>
      <c r="Q194" s="160"/>
      <c r="R194" s="160"/>
      <c r="S194" s="160"/>
      <c r="T194" s="160"/>
      <c r="U194" s="160"/>
      <c r="V194" s="164"/>
      <c r="W194" s="160"/>
      <c r="X194" s="160"/>
      <c r="Y194" s="164"/>
      <c r="Z194" s="160"/>
      <c r="AA194" s="160"/>
      <c r="AB194" s="160"/>
      <c r="AC194" s="164"/>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row>
    <row r="195" spans="1:51" s="31" customFormat="1" ht="14.25" customHeight="1" x14ac:dyDescent="0.2">
      <c r="A195" s="62"/>
      <c r="B195" s="87"/>
      <c r="C195" s="87"/>
      <c r="D195" s="87"/>
      <c r="E195" s="87"/>
      <c r="F195" s="87"/>
      <c r="G195" s="87"/>
      <c r="H195" s="87"/>
      <c r="I195" s="84"/>
      <c r="J195" s="84"/>
      <c r="K195" s="84"/>
      <c r="L195" s="84"/>
      <c r="M195" s="84"/>
      <c r="N195" s="62"/>
      <c r="O195" s="160"/>
      <c r="P195" s="160"/>
      <c r="Q195" s="160"/>
      <c r="R195" s="160"/>
      <c r="S195" s="160"/>
      <c r="T195" s="160" t="s">
        <v>52</v>
      </c>
      <c r="U195" s="160" t="e">
        <f>U193+1</f>
        <v>#REF!</v>
      </c>
      <c r="V195" s="164"/>
      <c r="W195" s="160" t="s">
        <v>52</v>
      </c>
      <c r="X195" s="160" t="e">
        <f>X193+1</f>
        <v>#REF!</v>
      </c>
      <c r="Y195" s="164"/>
      <c r="Z195" s="160"/>
      <c r="AA195" s="160" t="s">
        <v>52</v>
      </c>
      <c r="AB195" s="160" t="e">
        <f>AB193+1</f>
        <v>#REF!</v>
      </c>
      <c r="AC195" s="164"/>
      <c r="AD195" s="160"/>
      <c r="AE195" s="160"/>
      <c r="AF195" s="164"/>
      <c r="AG195" s="164"/>
      <c r="AH195" s="164"/>
      <c r="AI195" s="164"/>
      <c r="AJ195" s="164"/>
      <c r="AK195" s="164"/>
      <c r="AL195" s="164"/>
      <c r="AM195" s="164"/>
      <c r="AN195" s="164"/>
      <c r="AO195" s="164"/>
      <c r="AP195" s="160"/>
      <c r="AQ195" s="160"/>
      <c r="AR195" s="160"/>
      <c r="AS195" s="160"/>
      <c r="AT195" s="160"/>
      <c r="AU195" s="160"/>
      <c r="AV195" s="160"/>
      <c r="AW195" s="160"/>
      <c r="AX195" s="160"/>
      <c r="AY195" s="160"/>
    </row>
    <row r="196" spans="1:51" s="31" customFormat="1" ht="14.25" customHeight="1" x14ac:dyDescent="0.2">
      <c r="A196" s="62"/>
      <c r="B196" s="87"/>
      <c r="C196" s="87"/>
      <c r="D196" s="87"/>
      <c r="E196" s="87"/>
      <c r="F196" s="87"/>
      <c r="G196" s="87"/>
      <c r="H196" s="87"/>
      <c r="I196" s="167"/>
      <c r="J196" s="167"/>
      <c r="K196" s="207"/>
      <c r="L196" s="207"/>
      <c r="M196" s="213"/>
      <c r="N196" s="62"/>
      <c r="O196" s="160"/>
      <c r="P196" s="160"/>
      <c r="Q196" s="160"/>
      <c r="R196" s="160"/>
      <c r="S196" s="160"/>
      <c r="T196" s="160"/>
      <c r="U196" s="160"/>
      <c r="V196" s="164"/>
      <c r="W196" s="160"/>
      <c r="X196" s="160"/>
      <c r="Y196" s="164"/>
      <c r="Z196" s="160"/>
      <c r="AA196" s="160"/>
      <c r="AB196" s="160"/>
      <c r="AC196" s="164"/>
      <c r="AD196" s="160"/>
      <c r="AE196" s="160"/>
      <c r="AF196" s="164"/>
      <c r="AG196" s="164"/>
      <c r="AH196" s="164"/>
      <c r="AI196" s="164"/>
      <c r="AJ196" s="164"/>
      <c r="AK196" s="164"/>
      <c r="AL196" s="164"/>
      <c r="AM196" s="164"/>
      <c r="AN196" s="164"/>
      <c r="AO196" s="164"/>
      <c r="AP196" s="160"/>
      <c r="AQ196" s="160"/>
      <c r="AR196" s="160"/>
      <c r="AS196" s="160"/>
      <c r="AT196" s="160"/>
      <c r="AU196" s="160"/>
      <c r="AV196" s="160"/>
      <c r="AW196" s="160"/>
      <c r="AX196" s="160"/>
      <c r="AY196" s="160"/>
    </row>
    <row r="197" spans="1:51" s="31" customFormat="1" ht="14.25" customHeight="1" x14ac:dyDescent="0.2">
      <c r="A197" s="62"/>
      <c r="B197" s="209"/>
      <c r="C197" s="211"/>
      <c r="D197" s="209"/>
      <c r="E197" s="213"/>
      <c r="F197" s="213"/>
      <c r="G197" s="213"/>
      <c r="H197" s="172"/>
      <c r="I197" s="167"/>
      <c r="J197" s="167"/>
      <c r="K197" s="207"/>
      <c r="L197" s="207"/>
      <c r="M197" s="213"/>
      <c r="N197" s="62"/>
      <c r="O197" s="160"/>
      <c r="P197" s="160"/>
      <c r="Q197" s="160"/>
      <c r="R197" s="160"/>
      <c r="S197" s="160"/>
      <c r="T197" s="160" t="s">
        <v>52</v>
      </c>
      <c r="U197" s="160" t="e">
        <f>U195+1</f>
        <v>#REF!</v>
      </c>
      <c r="V197" s="164"/>
      <c r="W197" s="160" t="s">
        <v>52</v>
      </c>
      <c r="X197" s="160" t="e">
        <f>X195+1</f>
        <v>#REF!</v>
      </c>
      <c r="Y197" s="164"/>
      <c r="Z197" s="160"/>
      <c r="AA197" s="160" t="s">
        <v>52</v>
      </c>
      <c r="AB197" s="160" t="e">
        <f>AB195+1</f>
        <v>#REF!</v>
      </c>
      <c r="AC197" s="164"/>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row>
    <row r="198" spans="1:51" s="31" customFormat="1" ht="14.25" customHeight="1" x14ac:dyDescent="0.2">
      <c r="A198" s="62"/>
      <c r="B198" s="212"/>
      <c r="C198" s="211"/>
      <c r="D198" s="213"/>
      <c r="E198" s="213"/>
      <c r="F198" s="213"/>
      <c r="G198" s="213"/>
      <c r="H198" s="172"/>
      <c r="I198" s="167"/>
      <c r="J198" s="167"/>
      <c r="K198" s="207"/>
      <c r="L198" s="207"/>
      <c r="M198" s="213"/>
      <c r="N198" s="62"/>
      <c r="O198" s="160"/>
      <c r="P198" s="160"/>
      <c r="Q198" s="160"/>
      <c r="R198" s="160"/>
      <c r="S198" s="160"/>
      <c r="T198" s="160"/>
      <c r="U198" s="160"/>
      <c r="V198" s="164"/>
      <c r="W198" s="160"/>
      <c r="X198" s="160"/>
      <c r="Y198" s="164"/>
      <c r="Z198" s="160"/>
      <c r="AA198" s="160"/>
      <c r="AB198" s="160"/>
      <c r="AC198" s="164"/>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row>
    <row r="199" spans="1:51" s="31" customFormat="1" ht="14.25" customHeight="1" x14ac:dyDescent="0.2">
      <c r="A199" s="62"/>
      <c r="B199" s="84"/>
      <c r="C199" s="84"/>
      <c r="D199" s="84"/>
      <c r="E199" s="84"/>
      <c r="F199" s="84"/>
      <c r="G199" s="84"/>
      <c r="H199" s="84"/>
      <c r="I199" s="167"/>
      <c r="J199" s="167"/>
      <c r="K199" s="207"/>
      <c r="L199" s="207"/>
      <c r="M199" s="213"/>
      <c r="N199" s="62"/>
      <c r="O199" s="160"/>
      <c r="P199" s="160"/>
      <c r="Q199" s="160"/>
      <c r="R199" s="160"/>
      <c r="S199" s="160"/>
      <c r="T199" s="160" t="s">
        <v>52</v>
      </c>
      <c r="U199" s="160" t="e">
        <f>U197+1</f>
        <v>#REF!</v>
      </c>
      <c r="V199" s="164"/>
      <c r="W199" s="160" t="s">
        <v>52</v>
      </c>
      <c r="X199" s="160" t="e">
        <f>X197+1</f>
        <v>#REF!</v>
      </c>
      <c r="Y199" s="164"/>
      <c r="Z199" s="160"/>
      <c r="AA199" s="160" t="s">
        <v>52</v>
      </c>
      <c r="AB199" s="160" t="e">
        <f>AB197+1</f>
        <v>#REF!</v>
      </c>
      <c r="AC199" s="164"/>
      <c r="AD199" s="160"/>
      <c r="AE199" s="160"/>
      <c r="AF199" s="165"/>
      <c r="AG199" s="165"/>
      <c r="AH199" s="165"/>
      <c r="AI199" s="165"/>
      <c r="AJ199" s="165"/>
      <c r="AK199" s="165"/>
      <c r="AL199" s="165"/>
      <c r="AM199" s="165"/>
      <c r="AN199" s="165"/>
      <c r="AO199" s="165"/>
      <c r="AP199" s="160"/>
      <c r="AQ199" s="160"/>
      <c r="AR199" s="160"/>
      <c r="AS199" s="160"/>
      <c r="AT199" s="160"/>
      <c r="AU199" s="160"/>
      <c r="AV199" s="160"/>
      <c r="AW199" s="160"/>
      <c r="AX199" s="160"/>
      <c r="AY199" s="160"/>
    </row>
    <row r="200" spans="1:51" s="31" customFormat="1" ht="14.25" customHeight="1" x14ac:dyDescent="0.2">
      <c r="A200" s="62"/>
      <c r="B200" s="207"/>
      <c r="C200" s="208"/>
      <c r="D200" s="207"/>
      <c r="E200" s="213"/>
      <c r="F200" s="213"/>
      <c r="G200" s="213"/>
      <c r="H200" s="167"/>
      <c r="I200" s="167"/>
      <c r="J200" s="167"/>
      <c r="K200" s="207"/>
      <c r="L200" s="207"/>
      <c r="M200" s="213"/>
      <c r="N200" s="62"/>
      <c r="O200" s="160"/>
      <c r="P200" s="160"/>
      <c r="Q200" s="160"/>
      <c r="R200" s="160"/>
      <c r="S200" s="160"/>
      <c r="T200" s="160"/>
      <c r="U200" s="160"/>
      <c r="V200" s="164"/>
      <c r="W200" s="160"/>
      <c r="X200" s="160"/>
      <c r="Y200" s="164"/>
      <c r="Z200" s="160"/>
      <c r="AA200" s="160"/>
      <c r="AB200" s="160"/>
      <c r="AC200" s="164"/>
      <c r="AD200" s="160"/>
      <c r="AE200" s="160"/>
      <c r="AF200" s="165"/>
      <c r="AG200" s="165"/>
      <c r="AH200" s="165"/>
      <c r="AI200" s="165"/>
      <c r="AJ200" s="165"/>
      <c r="AK200" s="165"/>
      <c r="AL200" s="165"/>
      <c r="AM200" s="165"/>
      <c r="AN200" s="165"/>
      <c r="AO200" s="165"/>
      <c r="AP200" s="160"/>
      <c r="AQ200" s="160"/>
      <c r="AR200" s="160"/>
      <c r="AS200" s="160"/>
      <c r="AT200" s="160"/>
      <c r="AU200" s="160"/>
      <c r="AV200" s="160"/>
      <c r="AW200" s="160"/>
      <c r="AX200" s="160"/>
      <c r="AY200" s="160"/>
    </row>
    <row r="201" spans="1:51" s="31" customFormat="1" ht="14.25" customHeight="1" x14ac:dyDescent="0.2">
      <c r="A201" s="62"/>
      <c r="B201" s="208"/>
      <c r="C201" s="208"/>
      <c r="D201" s="213"/>
      <c r="E201" s="213"/>
      <c r="F201" s="213"/>
      <c r="G201" s="213"/>
      <c r="H201" s="167"/>
      <c r="I201" s="167"/>
      <c r="J201" s="167"/>
      <c r="K201" s="207"/>
      <c r="L201" s="207"/>
      <c r="M201" s="213"/>
      <c r="N201" s="62"/>
      <c r="O201" s="160"/>
      <c r="P201" s="160"/>
      <c r="Q201" s="160"/>
      <c r="R201" s="160"/>
      <c r="S201" s="160"/>
      <c r="T201" s="160" t="s">
        <v>52</v>
      </c>
      <c r="U201" s="160" t="e">
        <f>U199+1</f>
        <v>#REF!</v>
      </c>
      <c r="V201" s="164"/>
      <c r="W201" s="160" t="s">
        <v>52</v>
      </c>
      <c r="X201" s="160" t="e">
        <f>X199+1</f>
        <v>#REF!</v>
      </c>
      <c r="Y201" s="164"/>
      <c r="Z201" s="160"/>
      <c r="AA201" s="160" t="s">
        <v>52</v>
      </c>
      <c r="AB201" s="160" t="e">
        <f>AB199+1</f>
        <v>#REF!</v>
      </c>
      <c r="AC201" s="164"/>
      <c r="AD201" s="160"/>
      <c r="AE201" s="160"/>
      <c r="AF201" s="164"/>
      <c r="AG201" s="164"/>
      <c r="AH201" s="164"/>
      <c r="AI201" s="164"/>
      <c r="AJ201" s="164"/>
      <c r="AK201" s="164"/>
      <c r="AL201" s="164"/>
      <c r="AM201" s="164"/>
      <c r="AN201" s="164"/>
      <c r="AO201" s="164"/>
      <c r="AP201" s="160"/>
      <c r="AQ201" s="160"/>
      <c r="AR201" s="160"/>
      <c r="AS201" s="160"/>
      <c r="AT201" s="160"/>
      <c r="AU201" s="160"/>
      <c r="AV201" s="160"/>
      <c r="AW201" s="160"/>
      <c r="AX201" s="160"/>
      <c r="AY201" s="160"/>
    </row>
    <row r="202" spans="1:51" s="31" customFormat="1" ht="14.25" customHeight="1" x14ac:dyDescent="0.2">
      <c r="A202" s="62"/>
      <c r="B202" s="208"/>
      <c r="C202" s="208"/>
      <c r="D202" s="213"/>
      <c r="E202" s="213"/>
      <c r="F202" s="213"/>
      <c r="G202" s="213"/>
      <c r="H202" s="167"/>
      <c r="I202" s="167"/>
      <c r="J202" s="167"/>
      <c r="K202" s="207"/>
      <c r="L202" s="207"/>
      <c r="M202" s="213"/>
      <c r="N202" s="62"/>
      <c r="O202" s="160"/>
      <c r="P202" s="160"/>
      <c r="Q202" s="160"/>
      <c r="R202" s="160"/>
      <c r="S202" s="160"/>
      <c r="T202" s="160"/>
      <c r="U202" s="160"/>
      <c r="V202" s="164"/>
      <c r="W202" s="160"/>
      <c r="X202" s="160"/>
      <c r="Y202" s="164"/>
      <c r="Z202" s="160"/>
      <c r="AA202" s="160"/>
      <c r="AB202" s="160"/>
      <c r="AC202" s="164"/>
      <c r="AD202" s="160"/>
      <c r="AE202" s="160"/>
      <c r="AF202" s="164"/>
      <c r="AG202" s="164"/>
      <c r="AH202" s="164"/>
      <c r="AI202" s="164"/>
      <c r="AJ202" s="164"/>
      <c r="AK202" s="164"/>
      <c r="AL202" s="164"/>
      <c r="AM202" s="164"/>
      <c r="AN202" s="164"/>
      <c r="AO202" s="164"/>
      <c r="AP202" s="160"/>
      <c r="AQ202" s="160"/>
      <c r="AR202" s="160"/>
      <c r="AS202" s="160"/>
      <c r="AT202" s="160"/>
      <c r="AU202" s="160"/>
      <c r="AV202" s="160"/>
      <c r="AW202" s="160"/>
      <c r="AX202" s="160"/>
      <c r="AY202" s="160"/>
    </row>
    <row r="203" spans="1:51" s="31" customFormat="1" ht="14.25" customHeight="1" x14ac:dyDescent="0.2">
      <c r="A203" s="62"/>
      <c r="B203" s="208"/>
      <c r="C203" s="208"/>
      <c r="D203" s="213"/>
      <c r="E203" s="213"/>
      <c r="F203" s="213"/>
      <c r="G203" s="213"/>
      <c r="H203" s="167"/>
      <c r="I203" s="167"/>
      <c r="J203" s="167"/>
      <c r="K203" s="207"/>
      <c r="L203" s="207"/>
      <c r="M203" s="213"/>
      <c r="N203" s="62"/>
      <c r="O203" s="160"/>
      <c r="P203" s="160"/>
      <c r="Q203" s="160"/>
      <c r="R203" s="160"/>
      <c r="S203" s="160"/>
      <c r="T203" s="160" t="s">
        <v>52</v>
      </c>
      <c r="U203" s="160" t="e">
        <f>U201+1</f>
        <v>#REF!</v>
      </c>
      <c r="V203" s="164"/>
      <c r="W203" s="160" t="s">
        <v>52</v>
      </c>
      <c r="X203" s="160" t="e">
        <f>X201+1</f>
        <v>#REF!</v>
      </c>
      <c r="Y203" s="164"/>
      <c r="Z203" s="160"/>
      <c r="AA203" s="160" t="s">
        <v>52</v>
      </c>
      <c r="AB203" s="160" t="e">
        <f>AB201+1</f>
        <v>#REF!</v>
      </c>
      <c r="AC203" s="164"/>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row>
    <row r="204" spans="1:51" s="31" customFormat="1" ht="14.25" customHeight="1" x14ac:dyDescent="0.2">
      <c r="A204" s="62"/>
      <c r="B204" s="208"/>
      <c r="C204" s="208"/>
      <c r="D204" s="213"/>
      <c r="E204" s="213"/>
      <c r="F204" s="213"/>
      <c r="G204" s="213"/>
      <c r="H204" s="167"/>
      <c r="I204" s="167"/>
      <c r="J204" s="167"/>
      <c r="K204" s="207"/>
      <c r="L204" s="207"/>
      <c r="M204" s="213"/>
      <c r="N204" s="62"/>
      <c r="O204" s="160"/>
      <c r="P204" s="160"/>
      <c r="Q204" s="160"/>
      <c r="R204" s="160"/>
      <c r="S204" s="160"/>
      <c r="T204" s="160"/>
      <c r="U204" s="160"/>
      <c r="V204" s="164"/>
      <c r="W204" s="160"/>
      <c r="X204" s="160"/>
      <c r="Y204" s="164"/>
      <c r="Z204" s="160"/>
      <c r="AA204" s="160"/>
      <c r="AB204" s="160"/>
      <c r="AC204" s="164"/>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row>
    <row r="205" spans="1:51" s="31" customFormat="1" ht="14.25" customHeight="1" x14ac:dyDescent="0.2">
      <c r="A205" s="62"/>
      <c r="B205" s="208"/>
      <c r="C205" s="208"/>
      <c r="D205" s="213"/>
      <c r="E205" s="213"/>
      <c r="F205" s="213"/>
      <c r="G205" s="213"/>
      <c r="H205" s="167"/>
      <c r="I205" s="167"/>
      <c r="J205" s="167"/>
      <c r="K205" s="207"/>
      <c r="L205" s="207"/>
      <c r="M205" s="213"/>
      <c r="N205" s="62"/>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row>
    <row r="206" spans="1:51" s="31" customFormat="1" ht="14.25" customHeight="1" x14ac:dyDescent="0.2">
      <c r="A206" s="62"/>
      <c r="B206" s="208"/>
      <c r="C206" s="208"/>
      <c r="D206" s="213"/>
      <c r="E206" s="213"/>
      <c r="F206" s="213"/>
      <c r="G206" s="213"/>
      <c r="H206" s="167"/>
      <c r="I206" s="100"/>
      <c r="J206" s="84"/>
      <c r="K206" s="84"/>
      <c r="L206" s="84"/>
      <c r="M206" s="84"/>
      <c r="N206" s="62"/>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row>
    <row r="207" spans="1:51" s="31" customFormat="1" ht="15" customHeight="1" x14ac:dyDescent="0.2">
      <c r="A207" s="62"/>
      <c r="B207" s="208"/>
      <c r="C207" s="208"/>
      <c r="D207" s="213"/>
      <c r="E207" s="213"/>
      <c r="F207" s="213"/>
      <c r="G207" s="213"/>
      <c r="H207" s="167"/>
      <c r="I207" s="84"/>
      <c r="J207" s="84"/>
      <c r="K207" s="84"/>
      <c r="L207" s="84"/>
      <c r="M207" s="84"/>
      <c r="N207" s="62"/>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row>
    <row r="208" spans="1:51" s="31" customFormat="1" x14ac:dyDescent="0.2">
      <c r="A208" s="62"/>
      <c r="B208" s="208"/>
      <c r="C208" s="208"/>
      <c r="D208" s="213"/>
      <c r="E208" s="213"/>
      <c r="F208" s="213"/>
      <c r="G208" s="213"/>
      <c r="H208" s="167"/>
      <c r="I208" s="84"/>
      <c r="J208" s="84"/>
      <c r="K208" s="84"/>
      <c r="L208" s="84"/>
      <c r="M208" s="84"/>
      <c r="N208" s="62"/>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row>
    <row r="209" spans="1:51" s="31" customFormat="1" ht="13.5" customHeight="1" x14ac:dyDescent="0.2">
      <c r="A209" s="62"/>
      <c r="B209" s="208"/>
      <c r="C209" s="208"/>
      <c r="D209" s="213"/>
      <c r="E209" s="213"/>
      <c r="F209" s="213"/>
      <c r="G209" s="213"/>
      <c r="H209" s="167"/>
      <c r="I209" s="84"/>
      <c r="J209" s="84"/>
      <c r="K209" s="84"/>
      <c r="L209" s="84"/>
      <c r="M209" s="84"/>
      <c r="N209" s="62"/>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row>
    <row r="210" spans="1:51" s="31" customFormat="1" x14ac:dyDescent="0.2">
      <c r="A210" s="62"/>
      <c r="B210" s="84"/>
      <c r="C210" s="84"/>
      <c r="D210" s="84"/>
      <c r="E210" s="84"/>
      <c r="F210" s="84"/>
      <c r="G210" s="84"/>
      <c r="H210" s="84"/>
      <c r="I210" s="84"/>
      <c r="J210" s="84"/>
      <c r="K210" s="84"/>
      <c r="L210" s="84"/>
      <c r="M210" s="84"/>
      <c r="N210" s="62"/>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row>
    <row r="211" spans="1:51" s="31" customFormat="1" x14ac:dyDescent="0.2">
      <c r="A211" s="62"/>
      <c r="B211" s="84"/>
      <c r="C211" s="84"/>
      <c r="D211" s="84"/>
      <c r="E211" s="84"/>
      <c r="F211" s="84"/>
      <c r="G211" s="84"/>
      <c r="H211" s="84"/>
      <c r="I211" s="84"/>
      <c r="J211" s="84"/>
      <c r="K211" s="84"/>
      <c r="L211" s="84"/>
      <c r="M211" s="84"/>
      <c r="N211" s="62"/>
      <c r="O211" s="153"/>
      <c r="P211" s="153"/>
      <c r="Q211" s="153"/>
      <c r="R211" s="153"/>
      <c r="S211" s="153"/>
      <c r="T211" s="153"/>
      <c r="U211" s="153"/>
      <c r="V211" s="153"/>
      <c r="W211" s="153"/>
      <c r="X211" s="153"/>
      <c r="Y211" s="153"/>
      <c r="Z211" s="153"/>
      <c r="AA211" s="153"/>
      <c r="AB211" s="153"/>
      <c r="AC211" s="153"/>
      <c r="AD211" s="153"/>
      <c r="AE211" s="153"/>
      <c r="AF211" s="153"/>
      <c r="AG211" s="153"/>
      <c r="AH211" s="153"/>
      <c r="AI211" s="153"/>
      <c r="AJ211" s="153"/>
      <c r="AK211" s="153"/>
      <c r="AL211" s="153"/>
      <c r="AM211" s="153"/>
      <c r="AN211" s="153"/>
      <c r="AO211" s="153"/>
      <c r="AP211" s="153"/>
      <c r="AQ211" s="153"/>
      <c r="AR211" s="153"/>
      <c r="AS211" s="153"/>
      <c r="AT211" s="153"/>
      <c r="AU211" s="160"/>
      <c r="AV211" s="160"/>
      <c r="AW211" s="160"/>
      <c r="AX211" s="160"/>
      <c r="AY211" s="160"/>
    </row>
    <row r="212" spans="1:51" s="31" customFormat="1" x14ac:dyDescent="0.2">
      <c r="A212" s="62"/>
      <c r="B212" s="84"/>
      <c r="C212" s="84"/>
      <c r="D212" s="84"/>
      <c r="E212" s="84"/>
      <c r="F212" s="84"/>
      <c r="G212" s="84"/>
      <c r="H212" s="84"/>
      <c r="I212" s="84"/>
      <c r="J212" s="84"/>
      <c r="K212" s="84"/>
      <c r="L212" s="84"/>
      <c r="M212" s="84"/>
      <c r="N212" s="62"/>
      <c r="O212" s="153"/>
      <c r="P212" s="153"/>
      <c r="Q212" s="153"/>
      <c r="R212" s="153"/>
      <c r="S212" s="153"/>
      <c r="T212" s="153"/>
      <c r="U212" s="153"/>
      <c r="V212" s="153"/>
      <c r="W212" s="153"/>
      <c r="X212" s="153"/>
      <c r="Y212" s="153"/>
      <c r="Z212" s="153"/>
      <c r="AA212" s="153"/>
      <c r="AB212" s="153"/>
      <c r="AC212" s="153"/>
      <c r="AD212" s="153"/>
      <c r="AE212" s="153"/>
      <c r="AF212" s="153"/>
      <c r="AG212" s="153"/>
      <c r="AH212" s="153"/>
      <c r="AI212" s="153"/>
      <c r="AJ212" s="153"/>
      <c r="AK212" s="153"/>
      <c r="AL212" s="153"/>
      <c r="AM212" s="153"/>
      <c r="AN212" s="153"/>
      <c r="AO212" s="153"/>
      <c r="AP212" s="153"/>
      <c r="AQ212" s="153"/>
      <c r="AR212" s="153"/>
      <c r="AS212" s="153"/>
      <c r="AT212" s="153"/>
      <c r="AU212" s="160"/>
      <c r="AV212" s="160"/>
      <c r="AW212" s="160"/>
      <c r="AX212" s="160"/>
      <c r="AY212" s="160"/>
    </row>
    <row r="213" spans="1:51" s="31" customFormat="1" x14ac:dyDescent="0.2">
      <c r="A213" s="62"/>
      <c r="B213" s="84"/>
      <c r="C213" s="84"/>
      <c r="D213" s="84"/>
      <c r="E213" s="84"/>
      <c r="F213" s="84"/>
      <c r="G213" s="84"/>
      <c r="H213" s="84"/>
      <c r="I213" s="84"/>
      <c r="J213" s="84"/>
      <c r="K213" s="84"/>
      <c r="L213" s="84"/>
      <c r="M213" s="84"/>
      <c r="N213" s="62"/>
      <c r="O213" s="153"/>
      <c r="P213" s="153"/>
      <c r="Q213" s="153"/>
      <c r="R213" s="153"/>
      <c r="S213" s="153"/>
      <c r="T213" s="153"/>
      <c r="U213" s="153"/>
      <c r="V213" s="153"/>
      <c r="W213" s="153"/>
      <c r="X213" s="153"/>
      <c r="Y213" s="153"/>
      <c r="Z213" s="153"/>
      <c r="AA213" s="153"/>
      <c r="AB213" s="153"/>
      <c r="AC213" s="153"/>
      <c r="AD213" s="153"/>
      <c r="AE213" s="153"/>
      <c r="AF213" s="153"/>
      <c r="AG213" s="153"/>
      <c r="AH213" s="153"/>
      <c r="AI213" s="153"/>
      <c r="AJ213" s="153"/>
      <c r="AK213" s="153"/>
      <c r="AL213" s="153"/>
      <c r="AM213" s="153"/>
      <c r="AN213" s="153"/>
      <c r="AO213" s="153"/>
      <c r="AP213" s="153"/>
      <c r="AQ213" s="153"/>
      <c r="AR213" s="153"/>
      <c r="AS213" s="153"/>
      <c r="AT213" s="153"/>
      <c r="AU213" s="160"/>
      <c r="AV213" s="160"/>
      <c r="AW213" s="160"/>
      <c r="AX213" s="160"/>
      <c r="AY213" s="160"/>
    </row>
    <row r="214" spans="1:51" s="31" customFormat="1" x14ac:dyDescent="0.2">
      <c r="A214" s="62"/>
      <c r="B214" s="84"/>
      <c r="C214" s="84"/>
      <c r="D214" s="84"/>
      <c r="E214" s="84"/>
      <c r="F214" s="84"/>
      <c r="G214" s="84"/>
      <c r="H214" s="84"/>
      <c r="I214" s="84"/>
      <c r="J214" s="84"/>
      <c r="K214" s="84"/>
      <c r="L214" s="84"/>
      <c r="M214" s="84"/>
      <c r="N214" s="62"/>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M214" s="153"/>
      <c r="AN214" s="153"/>
      <c r="AO214" s="153"/>
      <c r="AP214" s="153"/>
      <c r="AQ214" s="153"/>
      <c r="AR214" s="153"/>
      <c r="AS214" s="153"/>
      <c r="AT214" s="153"/>
      <c r="AU214" s="160"/>
      <c r="AV214" s="160"/>
      <c r="AW214" s="160"/>
      <c r="AX214" s="160"/>
      <c r="AY214" s="160"/>
    </row>
    <row r="215" spans="1:51" s="31" customFormat="1" x14ac:dyDescent="0.2">
      <c r="A215" s="62"/>
      <c r="B215" s="84"/>
      <c r="C215" s="84"/>
      <c r="D215" s="84"/>
      <c r="E215" s="84"/>
      <c r="F215" s="84"/>
      <c r="G215" s="84"/>
      <c r="H215" s="84"/>
      <c r="I215" s="62"/>
      <c r="J215" s="62"/>
      <c r="K215" s="62"/>
      <c r="L215" s="62"/>
      <c r="M215" s="62"/>
      <c r="N215" s="62"/>
      <c r="O215" s="153"/>
      <c r="P215" s="153"/>
      <c r="Q215" s="153"/>
      <c r="R215" s="153"/>
      <c r="S215" s="153"/>
      <c r="T215" s="153"/>
      <c r="U215" s="153"/>
      <c r="V215" s="153"/>
      <c r="W215" s="153"/>
      <c r="X215" s="153"/>
      <c r="Y215" s="153"/>
      <c r="Z215" s="153"/>
      <c r="AA215" s="153"/>
      <c r="AB215" s="153"/>
      <c r="AC215" s="153"/>
      <c r="AD215" s="153"/>
      <c r="AE215" s="153"/>
      <c r="AF215" s="153"/>
      <c r="AG215" s="153"/>
      <c r="AH215" s="153"/>
      <c r="AI215" s="153"/>
      <c r="AJ215" s="153"/>
      <c r="AK215" s="153"/>
      <c r="AL215" s="153"/>
      <c r="AM215" s="153"/>
      <c r="AN215" s="153"/>
      <c r="AO215" s="153"/>
      <c r="AP215" s="153"/>
      <c r="AQ215" s="153"/>
      <c r="AR215" s="153"/>
      <c r="AS215" s="153"/>
      <c r="AT215" s="153"/>
      <c r="AU215" s="160"/>
      <c r="AV215" s="160"/>
      <c r="AW215" s="160"/>
      <c r="AX215" s="160"/>
      <c r="AY215" s="160"/>
    </row>
    <row r="216" spans="1:51" s="31" customFormat="1" x14ac:dyDescent="0.2">
      <c r="A216" s="62"/>
      <c r="B216" s="84"/>
      <c r="C216" s="84"/>
      <c r="D216" s="84"/>
      <c r="E216" s="84"/>
      <c r="F216" s="84"/>
      <c r="G216" s="84"/>
      <c r="H216" s="84"/>
      <c r="I216" s="62"/>
      <c r="J216" s="62"/>
      <c r="K216" s="62"/>
      <c r="L216" s="62"/>
      <c r="M216" s="62"/>
      <c r="N216" s="62"/>
      <c r="O216" s="153"/>
      <c r="P216" s="153"/>
      <c r="Q216" s="153"/>
      <c r="R216" s="153"/>
      <c r="S216" s="153"/>
      <c r="T216" s="153"/>
      <c r="U216" s="153"/>
      <c r="V216" s="153"/>
      <c r="W216" s="153"/>
      <c r="X216" s="153"/>
      <c r="Y216" s="153"/>
      <c r="Z216" s="153"/>
      <c r="AA216" s="153"/>
      <c r="AB216" s="153"/>
      <c r="AC216" s="153"/>
      <c r="AD216" s="153"/>
      <c r="AE216" s="153"/>
      <c r="AF216" s="153"/>
      <c r="AG216" s="153"/>
      <c r="AH216" s="153"/>
      <c r="AI216" s="153"/>
      <c r="AJ216" s="153"/>
      <c r="AK216" s="153"/>
      <c r="AL216" s="153"/>
      <c r="AM216" s="153"/>
      <c r="AN216" s="153"/>
      <c r="AO216" s="153"/>
      <c r="AP216" s="153"/>
      <c r="AQ216" s="153"/>
      <c r="AR216" s="153"/>
      <c r="AS216" s="153"/>
      <c r="AT216" s="153"/>
      <c r="AU216" s="160"/>
      <c r="AV216" s="160"/>
      <c r="AW216" s="160"/>
      <c r="AX216" s="160"/>
      <c r="AY216" s="160"/>
    </row>
    <row r="217" spans="1:51" x14ac:dyDescent="0.2">
      <c r="A217" s="62"/>
      <c r="B217" s="62"/>
      <c r="C217" s="62"/>
      <c r="D217" s="62"/>
      <c r="E217" s="62"/>
      <c r="F217" s="62"/>
      <c r="G217" s="62"/>
      <c r="H217" s="62"/>
      <c r="I217" s="62"/>
      <c r="J217" s="62"/>
      <c r="K217" s="62"/>
      <c r="L217" s="62"/>
      <c r="M217" s="62"/>
      <c r="N217" s="62"/>
      <c r="O217" s="153"/>
      <c r="P217" s="153"/>
      <c r="Q217" s="153"/>
      <c r="R217" s="153"/>
      <c r="S217" s="153"/>
      <c r="T217" s="153"/>
      <c r="U217" s="153"/>
      <c r="V217" s="153"/>
      <c r="W217" s="153"/>
      <c r="X217" s="153"/>
      <c r="Y217" s="153"/>
      <c r="Z217" s="153"/>
      <c r="AA217" s="153"/>
      <c r="AB217" s="153"/>
      <c r="AC217" s="153"/>
      <c r="AD217" s="153"/>
      <c r="AE217" s="153"/>
      <c r="AF217" s="153"/>
      <c r="AG217" s="153"/>
      <c r="AH217" s="153"/>
      <c r="AI217" s="153"/>
      <c r="AJ217" s="153"/>
      <c r="AK217" s="153"/>
      <c r="AL217" s="153"/>
      <c r="AM217" s="153"/>
      <c r="AN217" s="153"/>
      <c r="AO217" s="153"/>
      <c r="AP217" s="153"/>
      <c r="AQ217" s="153"/>
      <c r="AR217" s="153"/>
      <c r="AS217" s="153"/>
      <c r="AT217" s="153"/>
      <c r="AU217" s="153"/>
      <c r="AV217" s="153"/>
      <c r="AW217" s="153"/>
      <c r="AX217" s="153"/>
      <c r="AY217" s="153"/>
    </row>
    <row r="218" spans="1:51" x14ac:dyDescent="0.2">
      <c r="A218" s="62"/>
      <c r="B218" s="62"/>
      <c r="C218" s="62"/>
      <c r="D218" s="62"/>
      <c r="E218" s="62"/>
      <c r="F218" s="62"/>
      <c r="G218" s="62"/>
      <c r="H218" s="62"/>
      <c r="I218" s="62"/>
      <c r="J218" s="62"/>
      <c r="K218" s="62"/>
      <c r="L218" s="62"/>
      <c r="M218" s="62"/>
      <c r="N218" s="62"/>
      <c r="O218" s="153"/>
      <c r="P218" s="153"/>
      <c r="Q218" s="153"/>
      <c r="R218" s="153"/>
      <c r="S218" s="153"/>
      <c r="T218" s="153"/>
      <c r="U218" s="153"/>
      <c r="V218" s="153"/>
      <c r="W218" s="153"/>
      <c r="X218" s="153"/>
      <c r="Y218" s="153"/>
      <c r="Z218" s="153"/>
      <c r="AA218" s="153"/>
      <c r="AB218" s="153"/>
      <c r="AC218" s="153"/>
      <c r="AD218" s="153"/>
      <c r="AE218" s="153"/>
      <c r="AF218" s="153"/>
      <c r="AG218" s="153"/>
      <c r="AH218" s="153"/>
      <c r="AI218" s="153"/>
      <c r="AJ218" s="153"/>
      <c r="AK218" s="153"/>
      <c r="AL218" s="153"/>
      <c r="AM218" s="153"/>
      <c r="AN218" s="153"/>
      <c r="AO218" s="153"/>
      <c r="AP218" s="153"/>
      <c r="AQ218" s="153"/>
      <c r="AR218" s="153"/>
      <c r="AS218" s="153"/>
      <c r="AT218" s="153"/>
      <c r="AU218" s="153"/>
      <c r="AV218" s="153"/>
      <c r="AW218" s="153"/>
      <c r="AX218" s="153"/>
      <c r="AY218" s="153"/>
    </row>
    <row r="219" spans="1:51" x14ac:dyDescent="0.2">
      <c r="A219" s="62"/>
      <c r="B219" s="62"/>
      <c r="C219" s="62"/>
      <c r="D219" s="62"/>
      <c r="E219" s="62"/>
      <c r="F219" s="62"/>
      <c r="G219" s="62"/>
      <c r="H219" s="62"/>
      <c r="I219" s="62"/>
      <c r="J219" s="62"/>
      <c r="K219" s="62"/>
      <c r="L219" s="62"/>
      <c r="M219" s="62"/>
      <c r="N219" s="62"/>
      <c r="O219" s="153"/>
      <c r="P219" s="153"/>
      <c r="Q219" s="153"/>
      <c r="R219" s="153"/>
      <c r="S219" s="153"/>
      <c r="T219" s="153"/>
      <c r="U219" s="153"/>
      <c r="V219" s="153"/>
      <c r="W219" s="153"/>
      <c r="X219" s="153"/>
      <c r="Y219" s="153"/>
      <c r="Z219" s="153"/>
      <c r="AA219" s="153"/>
      <c r="AB219" s="153"/>
      <c r="AC219" s="153"/>
      <c r="AD219" s="153"/>
      <c r="AE219" s="153"/>
      <c r="AF219" s="153"/>
      <c r="AG219" s="153"/>
      <c r="AH219" s="153"/>
      <c r="AI219" s="153"/>
      <c r="AJ219" s="153"/>
      <c r="AK219" s="153"/>
      <c r="AL219" s="153"/>
      <c r="AM219" s="153"/>
      <c r="AN219" s="153"/>
      <c r="AO219" s="153"/>
      <c r="AP219" s="153"/>
      <c r="AQ219" s="153"/>
      <c r="AR219" s="153"/>
      <c r="AS219" s="153"/>
      <c r="AT219" s="153"/>
      <c r="AU219" s="153"/>
      <c r="AV219" s="153"/>
      <c r="AW219" s="153"/>
      <c r="AX219" s="153"/>
      <c r="AY219" s="153"/>
    </row>
    <row r="220" spans="1:51" x14ac:dyDescent="0.2">
      <c r="A220" s="62"/>
      <c r="B220" s="62"/>
      <c r="C220" s="62"/>
      <c r="D220" s="62"/>
      <c r="E220" s="62"/>
      <c r="F220" s="62"/>
      <c r="G220" s="62"/>
      <c r="H220" s="62"/>
      <c r="I220" s="62"/>
      <c r="J220" s="62"/>
      <c r="K220" s="62"/>
      <c r="L220" s="62"/>
      <c r="M220" s="62"/>
      <c r="N220" s="62"/>
      <c r="O220" s="153"/>
      <c r="P220" s="153"/>
      <c r="Q220" s="153"/>
      <c r="R220" s="153"/>
      <c r="S220" s="153"/>
      <c r="T220" s="153"/>
      <c r="U220" s="153"/>
      <c r="V220" s="153"/>
      <c r="W220" s="153"/>
      <c r="X220" s="153"/>
      <c r="Y220" s="153"/>
      <c r="Z220" s="153"/>
      <c r="AA220" s="153"/>
      <c r="AB220" s="153"/>
      <c r="AC220" s="153"/>
      <c r="AD220" s="153"/>
      <c r="AE220" s="153"/>
      <c r="AF220" s="153"/>
      <c r="AG220" s="153"/>
      <c r="AH220" s="153"/>
      <c r="AI220" s="153"/>
      <c r="AJ220" s="153"/>
      <c r="AK220" s="153"/>
      <c r="AL220" s="153"/>
      <c r="AM220" s="153"/>
      <c r="AN220" s="153"/>
      <c r="AO220" s="153"/>
      <c r="AP220" s="153"/>
      <c r="AQ220" s="153"/>
      <c r="AR220" s="153"/>
      <c r="AS220" s="153"/>
      <c r="AT220" s="153"/>
      <c r="AU220" s="153"/>
      <c r="AV220" s="153"/>
      <c r="AW220" s="153"/>
      <c r="AX220" s="153"/>
      <c r="AY220" s="153"/>
    </row>
    <row r="221" spans="1:51" x14ac:dyDescent="0.2">
      <c r="A221" s="62"/>
      <c r="B221" s="62"/>
      <c r="C221" s="62"/>
      <c r="D221" s="62"/>
      <c r="E221" s="62"/>
      <c r="F221" s="62"/>
      <c r="G221" s="62"/>
      <c r="H221" s="62"/>
      <c r="I221" s="62"/>
      <c r="J221" s="62"/>
      <c r="K221" s="62"/>
      <c r="L221" s="62"/>
      <c r="M221" s="62"/>
      <c r="N221" s="62"/>
      <c r="O221" s="153"/>
      <c r="P221" s="153"/>
      <c r="Q221" s="153"/>
      <c r="R221" s="153"/>
      <c r="S221" s="153"/>
      <c r="T221" s="153"/>
      <c r="U221" s="153"/>
      <c r="V221" s="153"/>
      <c r="W221" s="153"/>
      <c r="X221" s="153"/>
      <c r="Y221" s="153"/>
      <c r="Z221" s="153"/>
      <c r="AA221" s="153"/>
      <c r="AB221" s="153"/>
      <c r="AC221" s="153"/>
      <c r="AD221" s="153"/>
      <c r="AE221" s="153"/>
      <c r="AF221" s="153"/>
      <c r="AG221" s="153"/>
      <c r="AH221" s="153"/>
      <c r="AI221" s="153"/>
      <c r="AJ221" s="153"/>
      <c r="AK221" s="153"/>
      <c r="AL221" s="153"/>
      <c r="AM221" s="153"/>
      <c r="AN221" s="153"/>
      <c r="AO221" s="153"/>
      <c r="AP221" s="153"/>
      <c r="AQ221" s="153"/>
      <c r="AR221" s="153"/>
      <c r="AS221" s="153"/>
      <c r="AT221" s="153"/>
      <c r="AU221" s="153"/>
      <c r="AV221" s="153"/>
      <c r="AW221" s="153"/>
      <c r="AX221" s="153"/>
      <c r="AY221" s="153"/>
    </row>
    <row r="222" spans="1:51" x14ac:dyDescent="0.2">
      <c r="A222" s="62"/>
      <c r="B222" s="62"/>
      <c r="C222" s="62"/>
      <c r="D222" s="62"/>
      <c r="E222" s="62"/>
      <c r="F222" s="62"/>
      <c r="G222" s="62"/>
      <c r="H222" s="62"/>
      <c r="I222" s="62"/>
      <c r="J222" s="62"/>
      <c r="K222" s="62"/>
      <c r="L222" s="62"/>
      <c r="M222" s="62"/>
      <c r="N222" s="62"/>
      <c r="O222" s="153"/>
      <c r="P222" s="153"/>
      <c r="Q222" s="153"/>
      <c r="R222" s="153"/>
      <c r="S222" s="153"/>
      <c r="T222" s="153"/>
      <c r="U222" s="153"/>
      <c r="V222" s="153"/>
      <c r="W222" s="153"/>
      <c r="X222" s="153"/>
      <c r="Y222" s="153"/>
      <c r="Z222" s="153"/>
      <c r="AA222" s="153"/>
      <c r="AB222" s="153"/>
      <c r="AC222" s="153"/>
      <c r="AD222" s="153"/>
      <c r="AE222" s="153"/>
      <c r="AF222" s="153"/>
      <c r="AG222" s="153"/>
      <c r="AH222" s="153"/>
      <c r="AI222" s="153"/>
      <c r="AJ222" s="153"/>
      <c r="AK222" s="153"/>
      <c r="AL222" s="153"/>
      <c r="AM222" s="153"/>
      <c r="AN222" s="153"/>
      <c r="AO222" s="153"/>
      <c r="AP222" s="153"/>
      <c r="AQ222" s="153"/>
      <c r="AR222" s="153"/>
      <c r="AS222" s="153"/>
      <c r="AT222" s="153"/>
      <c r="AU222" s="153"/>
      <c r="AV222" s="153"/>
      <c r="AW222" s="153"/>
      <c r="AX222" s="153"/>
      <c r="AY222" s="153"/>
    </row>
    <row r="223" spans="1:51" x14ac:dyDescent="0.2">
      <c r="A223" s="62"/>
      <c r="B223" s="62"/>
      <c r="C223" s="62"/>
      <c r="D223" s="62"/>
      <c r="E223" s="62"/>
      <c r="F223" s="62"/>
      <c r="G223" s="62"/>
      <c r="H223" s="62"/>
      <c r="I223" s="62"/>
      <c r="J223" s="62"/>
      <c r="K223" s="62"/>
      <c r="L223" s="62"/>
      <c r="M223" s="62"/>
      <c r="N223" s="62"/>
      <c r="O223" s="153"/>
      <c r="P223" s="153"/>
      <c r="Q223" s="153"/>
      <c r="R223" s="153"/>
      <c r="S223" s="153"/>
      <c r="T223" s="153"/>
      <c r="U223" s="153"/>
      <c r="V223" s="153"/>
      <c r="W223" s="153"/>
      <c r="X223" s="153"/>
      <c r="Y223" s="153"/>
      <c r="Z223" s="153"/>
      <c r="AA223" s="153"/>
      <c r="AB223" s="153"/>
      <c r="AC223" s="153"/>
      <c r="AD223" s="153"/>
      <c r="AE223" s="153"/>
      <c r="AF223" s="153"/>
      <c r="AG223" s="153"/>
      <c r="AH223" s="153"/>
      <c r="AI223" s="153"/>
      <c r="AJ223" s="153"/>
      <c r="AK223" s="153"/>
      <c r="AL223" s="153"/>
      <c r="AM223" s="153"/>
      <c r="AN223" s="153"/>
      <c r="AO223" s="153"/>
      <c r="AP223" s="153"/>
      <c r="AQ223" s="153"/>
      <c r="AR223" s="153"/>
      <c r="AS223" s="153"/>
      <c r="AT223" s="153"/>
      <c r="AU223" s="153"/>
      <c r="AV223" s="153"/>
      <c r="AW223" s="153"/>
      <c r="AX223" s="153"/>
      <c r="AY223" s="153"/>
    </row>
    <row r="224" spans="1:51" x14ac:dyDescent="0.2">
      <c r="A224" s="62"/>
      <c r="B224" s="62"/>
      <c r="C224" s="62"/>
      <c r="D224" s="62"/>
      <c r="E224" s="62"/>
      <c r="F224" s="62"/>
      <c r="G224" s="62"/>
      <c r="H224" s="62"/>
      <c r="I224" s="62"/>
      <c r="J224" s="62"/>
      <c r="K224" s="62"/>
      <c r="L224" s="62"/>
      <c r="M224" s="62"/>
      <c r="N224" s="62"/>
      <c r="O224" s="153"/>
      <c r="P224" s="153"/>
      <c r="Q224" s="153"/>
      <c r="R224" s="153"/>
      <c r="S224" s="153"/>
      <c r="T224" s="153"/>
      <c r="U224" s="153"/>
      <c r="V224" s="153"/>
      <c r="W224" s="153"/>
      <c r="X224" s="153"/>
      <c r="Y224" s="153"/>
      <c r="Z224" s="153"/>
      <c r="AA224" s="153"/>
      <c r="AB224" s="153"/>
      <c r="AC224" s="153"/>
      <c r="AD224" s="153"/>
      <c r="AE224" s="153"/>
      <c r="AF224" s="153"/>
      <c r="AG224" s="153"/>
      <c r="AH224" s="153"/>
      <c r="AI224" s="153"/>
      <c r="AJ224" s="153"/>
      <c r="AK224" s="153"/>
      <c r="AL224" s="153"/>
      <c r="AM224" s="153"/>
      <c r="AN224" s="153"/>
      <c r="AO224" s="153"/>
      <c r="AP224" s="153"/>
      <c r="AQ224" s="153"/>
      <c r="AR224" s="153"/>
      <c r="AS224" s="153"/>
      <c r="AT224" s="153"/>
      <c r="AU224" s="153"/>
      <c r="AV224" s="153"/>
      <c r="AW224" s="153"/>
      <c r="AX224" s="153"/>
      <c r="AY224" s="153"/>
    </row>
    <row r="225" spans="1:51" x14ac:dyDescent="0.2">
      <c r="A225" s="62"/>
      <c r="B225" s="62"/>
      <c r="C225" s="62"/>
      <c r="D225" s="62"/>
      <c r="E225" s="62"/>
      <c r="F225" s="62"/>
      <c r="G225" s="62"/>
      <c r="H225" s="62"/>
      <c r="I225" s="62"/>
      <c r="J225" s="62"/>
      <c r="K225" s="62"/>
      <c r="L225" s="62"/>
      <c r="M225" s="62"/>
      <c r="N225" s="62"/>
      <c r="O225" s="153"/>
      <c r="P225" s="153"/>
      <c r="Q225" s="153"/>
      <c r="R225" s="153"/>
      <c r="S225" s="153"/>
      <c r="T225" s="153"/>
      <c r="U225" s="153"/>
      <c r="V225" s="153"/>
      <c r="W225" s="153"/>
      <c r="X225" s="153"/>
      <c r="Y225" s="153"/>
      <c r="Z225" s="153"/>
      <c r="AA225" s="153"/>
      <c r="AB225" s="153"/>
      <c r="AC225" s="153"/>
      <c r="AD225" s="153"/>
      <c r="AE225" s="153"/>
      <c r="AF225" s="153"/>
      <c r="AG225" s="153"/>
      <c r="AH225" s="153"/>
      <c r="AI225" s="153"/>
      <c r="AJ225" s="153"/>
      <c r="AK225" s="153"/>
      <c r="AL225" s="153"/>
      <c r="AM225" s="153"/>
      <c r="AN225" s="153"/>
      <c r="AO225" s="153"/>
      <c r="AP225" s="153"/>
      <c r="AQ225" s="153"/>
      <c r="AR225" s="153"/>
      <c r="AS225" s="153"/>
      <c r="AT225" s="153"/>
      <c r="AU225" s="153"/>
      <c r="AV225" s="153"/>
      <c r="AW225" s="153"/>
      <c r="AX225" s="153"/>
      <c r="AY225" s="153"/>
    </row>
    <row r="226" spans="1:51" x14ac:dyDescent="0.2">
      <c r="A226" s="62"/>
      <c r="B226" s="62"/>
      <c r="C226" s="62"/>
      <c r="D226" s="62"/>
      <c r="E226" s="62"/>
      <c r="F226" s="62"/>
      <c r="G226" s="62"/>
      <c r="H226" s="62"/>
      <c r="I226" s="62"/>
      <c r="J226" s="62"/>
      <c r="K226" s="62"/>
      <c r="L226" s="62"/>
      <c r="M226" s="62"/>
      <c r="N226" s="62"/>
      <c r="O226" s="153"/>
      <c r="P226" s="153"/>
      <c r="Q226" s="153"/>
      <c r="R226" s="153"/>
      <c r="S226" s="153"/>
      <c r="T226" s="153"/>
      <c r="U226" s="153"/>
      <c r="V226" s="153"/>
      <c r="W226" s="153"/>
      <c r="X226" s="153"/>
      <c r="Y226" s="153"/>
      <c r="Z226" s="153"/>
      <c r="AA226" s="153"/>
      <c r="AB226" s="153"/>
      <c r="AC226" s="153"/>
      <c r="AD226" s="153"/>
      <c r="AE226" s="153"/>
      <c r="AF226" s="153"/>
      <c r="AG226" s="153"/>
      <c r="AH226" s="153"/>
      <c r="AI226" s="153"/>
      <c r="AJ226" s="153"/>
      <c r="AK226" s="153"/>
      <c r="AL226" s="153"/>
      <c r="AM226" s="153"/>
      <c r="AN226" s="153"/>
      <c r="AO226" s="153"/>
      <c r="AP226" s="153"/>
      <c r="AQ226" s="153"/>
      <c r="AR226" s="153"/>
      <c r="AS226" s="153"/>
      <c r="AT226" s="153"/>
      <c r="AU226" s="153"/>
      <c r="AV226" s="153"/>
      <c r="AW226" s="153"/>
      <c r="AX226" s="153"/>
      <c r="AY226" s="153"/>
    </row>
    <row r="227" spans="1:51" x14ac:dyDescent="0.2">
      <c r="A227" s="62"/>
      <c r="B227" s="62"/>
      <c r="C227" s="62"/>
      <c r="D227" s="62"/>
      <c r="E227" s="62"/>
      <c r="F227" s="62"/>
      <c r="G227" s="62"/>
      <c r="H227" s="62"/>
      <c r="I227" s="62"/>
      <c r="J227" s="62"/>
      <c r="K227" s="62"/>
      <c r="L227" s="62"/>
      <c r="M227" s="62"/>
      <c r="N227" s="62"/>
      <c r="O227" s="153"/>
      <c r="P227" s="153"/>
      <c r="Q227" s="153"/>
      <c r="R227" s="153"/>
      <c r="S227" s="153"/>
      <c r="T227" s="153"/>
      <c r="U227" s="153"/>
      <c r="V227" s="153"/>
      <c r="W227" s="153"/>
      <c r="X227" s="153"/>
      <c r="Y227" s="153"/>
      <c r="Z227" s="153"/>
      <c r="AA227" s="153"/>
      <c r="AB227" s="153"/>
      <c r="AC227" s="153"/>
      <c r="AD227" s="153"/>
      <c r="AE227" s="153"/>
      <c r="AF227" s="153"/>
      <c r="AG227" s="153"/>
      <c r="AH227" s="153"/>
      <c r="AI227" s="153"/>
      <c r="AJ227" s="153"/>
      <c r="AK227" s="153"/>
      <c r="AL227" s="153"/>
      <c r="AM227" s="153"/>
      <c r="AN227" s="153"/>
      <c r="AO227" s="153"/>
      <c r="AP227" s="153"/>
      <c r="AQ227" s="153"/>
      <c r="AR227" s="153"/>
      <c r="AS227" s="153"/>
      <c r="AT227" s="153"/>
      <c r="AU227" s="153"/>
      <c r="AV227" s="153"/>
      <c r="AW227" s="153"/>
      <c r="AX227" s="153"/>
      <c r="AY227" s="153"/>
    </row>
    <row r="228" spans="1:51" x14ac:dyDescent="0.2">
      <c r="A228" s="62"/>
      <c r="B228" s="62"/>
      <c r="C228" s="62"/>
      <c r="D228" s="62"/>
      <c r="E228" s="62"/>
      <c r="F228" s="62"/>
      <c r="G228" s="62"/>
      <c r="H228" s="62"/>
      <c r="I228" s="62"/>
      <c r="J228" s="62"/>
      <c r="K228" s="62"/>
      <c r="L228" s="62"/>
      <c r="M228" s="62"/>
      <c r="N228" s="62"/>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c r="AM228" s="153"/>
      <c r="AN228" s="153"/>
      <c r="AO228" s="153"/>
      <c r="AP228" s="153"/>
      <c r="AQ228" s="153"/>
      <c r="AR228" s="153"/>
      <c r="AS228" s="153"/>
      <c r="AT228" s="153"/>
      <c r="AU228" s="153"/>
      <c r="AV228" s="153"/>
      <c r="AW228" s="153"/>
      <c r="AX228" s="153"/>
      <c r="AY228" s="153"/>
    </row>
    <row r="229" spans="1:51" x14ac:dyDescent="0.2">
      <c r="A229" s="62"/>
      <c r="B229" s="62"/>
      <c r="C229" s="62"/>
      <c r="D229" s="62"/>
      <c r="E229" s="62"/>
      <c r="F229" s="62"/>
      <c r="G229" s="62"/>
      <c r="H229" s="62"/>
      <c r="I229" s="62"/>
      <c r="J229" s="62"/>
      <c r="K229" s="62"/>
      <c r="L229" s="62"/>
      <c r="M229" s="62"/>
      <c r="N229" s="62"/>
      <c r="O229" s="153"/>
      <c r="P229" s="153"/>
      <c r="Q229" s="153"/>
      <c r="R229" s="153"/>
      <c r="S229" s="153"/>
      <c r="T229" s="153"/>
      <c r="U229" s="153"/>
      <c r="V229" s="153"/>
      <c r="W229" s="153"/>
      <c r="X229" s="153"/>
      <c r="Y229" s="153"/>
      <c r="Z229" s="153"/>
      <c r="AA229" s="153"/>
      <c r="AB229" s="153"/>
      <c r="AC229" s="153"/>
      <c r="AD229" s="153"/>
      <c r="AE229" s="153"/>
      <c r="AF229" s="153"/>
      <c r="AG229" s="153"/>
      <c r="AH229" s="153"/>
      <c r="AI229" s="153"/>
      <c r="AJ229" s="153"/>
      <c r="AK229" s="153"/>
      <c r="AL229" s="153"/>
      <c r="AM229" s="153"/>
      <c r="AN229" s="153"/>
      <c r="AO229" s="153"/>
      <c r="AP229" s="153"/>
      <c r="AQ229" s="153"/>
      <c r="AR229" s="153"/>
      <c r="AS229" s="153"/>
      <c r="AT229" s="153"/>
      <c r="AU229" s="153"/>
      <c r="AV229" s="153"/>
      <c r="AW229" s="153"/>
      <c r="AX229" s="153"/>
      <c r="AY229" s="153"/>
    </row>
    <row r="230" spans="1:51" x14ac:dyDescent="0.2">
      <c r="A230" s="62"/>
      <c r="B230" s="62"/>
      <c r="C230" s="62"/>
      <c r="D230" s="62"/>
      <c r="E230" s="62"/>
      <c r="F230" s="62"/>
      <c r="G230" s="62"/>
      <c r="H230" s="62"/>
      <c r="I230" s="62"/>
      <c r="J230" s="62"/>
      <c r="K230" s="62"/>
      <c r="L230" s="62"/>
      <c r="M230" s="62"/>
      <c r="N230" s="62"/>
      <c r="O230" s="153"/>
      <c r="P230" s="153"/>
      <c r="Q230" s="153"/>
      <c r="R230" s="153"/>
      <c r="S230" s="153"/>
      <c r="T230" s="153"/>
      <c r="U230" s="153"/>
      <c r="V230" s="153"/>
      <c r="W230" s="153"/>
      <c r="X230" s="153"/>
      <c r="Y230" s="153"/>
      <c r="Z230" s="153"/>
      <c r="AA230" s="153"/>
      <c r="AB230" s="153"/>
      <c r="AC230" s="153"/>
      <c r="AD230" s="153"/>
      <c r="AE230" s="153"/>
      <c r="AF230" s="153"/>
      <c r="AG230" s="153"/>
      <c r="AH230" s="153"/>
      <c r="AI230" s="153"/>
      <c r="AJ230" s="153"/>
      <c r="AK230" s="153"/>
      <c r="AL230" s="153"/>
      <c r="AM230" s="153"/>
      <c r="AN230" s="153"/>
      <c r="AO230" s="153"/>
      <c r="AP230" s="153"/>
      <c r="AQ230" s="153"/>
      <c r="AR230" s="153"/>
      <c r="AS230" s="153"/>
      <c r="AT230" s="153"/>
      <c r="AU230" s="153"/>
      <c r="AV230" s="153"/>
      <c r="AW230" s="153"/>
      <c r="AX230" s="153"/>
      <c r="AY230" s="153"/>
    </row>
    <row r="231" spans="1:51" x14ac:dyDescent="0.2">
      <c r="A231" s="62" t="b">
        <v>1</v>
      </c>
      <c r="B231" s="62"/>
      <c r="C231" s="62"/>
      <c r="D231" s="62"/>
      <c r="E231" s="62"/>
      <c r="F231" s="62"/>
      <c r="G231" s="62"/>
      <c r="H231" s="62"/>
      <c r="I231" s="62"/>
      <c r="J231" s="62"/>
      <c r="K231" s="62"/>
      <c r="L231" s="62"/>
      <c r="M231" s="62"/>
      <c r="N231" s="62"/>
      <c r="O231" s="153"/>
      <c r="P231" s="153"/>
      <c r="Q231" s="153"/>
      <c r="R231" s="153"/>
      <c r="S231" s="153"/>
      <c r="T231" s="153"/>
      <c r="U231" s="153"/>
      <c r="V231" s="153"/>
      <c r="W231" s="153"/>
      <c r="X231" s="153"/>
      <c r="Y231" s="153"/>
      <c r="Z231" s="153"/>
      <c r="AA231" s="153"/>
      <c r="AB231" s="153"/>
      <c r="AC231" s="153"/>
      <c r="AD231" s="153"/>
      <c r="AE231" s="153"/>
      <c r="AF231" s="153"/>
      <c r="AG231" s="153"/>
      <c r="AH231" s="153"/>
      <c r="AI231" s="153"/>
      <c r="AJ231" s="153"/>
      <c r="AK231" s="153"/>
      <c r="AL231" s="153"/>
      <c r="AM231" s="153"/>
      <c r="AN231" s="153"/>
      <c r="AO231" s="153"/>
      <c r="AP231" s="153"/>
      <c r="AQ231" s="153"/>
      <c r="AR231" s="153"/>
      <c r="AS231" s="153"/>
      <c r="AT231" s="153"/>
      <c r="AU231" s="153"/>
      <c r="AV231" s="153"/>
      <c r="AW231" s="153"/>
      <c r="AX231" s="153"/>
      <c r="AY231" s="153"/>
    </row>
    <row r="232" spans="1:51" x14ac:dyDescent="0.2">
      <c r="A232" s="62"/>
      <c r="B232" s="62"/>
      <c r="C232" s="62"/>
      <c r="D232" s="62"/>
      <c r="E232" s="62"/>
      <c r="F232" s="62"/>
      <c r="G232" s="62"/>
      <c r="H232" s="62"/>
      <c r="I232" s="62"/>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c r="AM232" s="153"/>
      <c r="AN232" s="153"/>
      <c r="AO232" s="153"/>
      <c r="AP232" s="153"/>
      <c r="AQ232" s="153"/>
      <c r="AR232" s="153"/>
      <c r="AS232" s="153"/>
      <c r="AT232" s="153"/>
      <c r="AU232" s="153"/>
      <c r="AV232" s="153"/>
      <c r="AW232" s="153"/>
      <c r="AX232" s="153"/>
      <c r="AY232" s="153"/>
    </row>
    <row r="233" spans="1:51" x14ac:dyDescent="0.2">
      <c r="A233" s="62"/>
      <c r="B233" s="62"/>
      <c r="C233" s="62"/>
      <c r="D233" s="62"/>
      <c r="E233" s="62"/>
      <c r="F233" s="62"/>
      <c r="G233" s="62"/>
      <c r="H233" s="62"/>
      <c r="I233" s="62"/>
      <c r="O233" s="153"/>
      <c r="P233" s="153"/>
      <c r="Q233" s="153"/>
      <c r="R233" s="153"/>
      <c r="S233" s="153"/>
      <c r="T233" s="153"/>
      <c r="U233" s="153"/>
      <c r="V233" s="153"/>
      <c r="W233" s="153"/>
      <c r="X233" s="153"/>
      <c r="Y233" s="153"/>
      <c r="Z233" s="153"/>
      <c r="AA233" s="153"/>
      <c r="AB233" s="153"/>
      <c r="AC233" s="153"/>
      <c r="AD233" s="153"/>
      <c r="AE233" s="153"/>
      <c r="AF233" s="153"/>
      <c r="AG233" s="153"/>
      <c r="AH233" s="153"/>
      <c r="AI233" s="153"/>
      <c r="AJ233" s="153"/>
      <c r="AK233" s="153"/>
      <c r="AL233" s="153"/>
      <c r="AM233" s="153"/>
      <c r="AN233" s="153"/>
      <c r="AO233" s="153"/>
      <c r="AP233" s="153"/>
      <c r="AQ233" s="153"/>
      <c r="AR233" s="153"/>
      <c r="AS233" s="153"/>
      <c r="AT233" s="153"/>
      <c r="AU233" s="153"/>
      <c r="AV233" s="153"/>
      <c r="AW233" s="153"/>
      <c r="AX233" s="153"/>
      <c r="AY233" s="153"/>
    </row>
    <row r="234" spans="1:51" x14ac:dyDescent="0.2">
      <c r="A234" s="62"/>
      <c r="B234" s="62"/>
      <c r="C234" s="62"/>
      <c r="D234" s="62"/>
      <c r="E234" s="62"/>
      <c r="F234" s="62"/>
      <c r="G234" s="62"/>
      <c r="H234" s="62"/>
      <c r="I234" s="62"/>
      <c r="O234" s="153"/>
      <c r="P234" s="153"/>
      <c r="Q234" s="153"/>
      <c r="R234" s="153"/>
      <c r="S234" s="153"/>
      <c r="T234" s="153"/>
      <c r="U234" s="153"/>
      <c r="V234" s="153"/>
      <c r="W234" s="153"/>
      <c r="X234" s="153"/>
      <c r="Y234" s="153"/>
      <c r="Z234" s="153"/>
      <c r="AA234" s="153"/>
      <c r="AB234" s="153"/>
      <c r="AC234" s="153"/>
      <c r="AD234" s="153"/>
      <c r="AE234" s="153"/>
      <c r="AF234" s="153"/>
      <c r="AG234" s="153"/>
      <c r="AH234" s="153"/>
      <c r="AI234" s="153"/>
      <c r="AJ234" s="153"/>
      <c r="AK234" s="153"/>
      <c r="AL234" s="153"/>
      <c r="AM234" s="153"/>
      <c r="AN234" s="153"/>
      <c r="AO234" s="153"/>
      <c r="AP234" s="153"/>
      <c r="AQ234" s="153"/>
      <c r="AR234" s="153"/>
      <c r="AS234" s="153"/>
      <c r="AT234" s="153"/>
      <c r="AU234" s="153"/>
      <c r="AV234" s="153"/>
      <c r="AW234" s="153"/>
      <c r="AX234" s="153"/>
      <c r="AY234" s="153"/>
    </row>
    <row r="235" spans="1:51" x14ac:dyDescent="0.2">
      <c r="A235" s="62"/>
      <c r="B235" s="62"/>
      <c r="C235" s="62"/>
      <c r="D235" s="62"/>
      <c r="E235" s="62"/>
      <c r="F235" s="62"/>
      <c r="G235" s="62"/>
      <c r="H235" s="62"/>
      <c r="I235" s="62"/>
      <c r="O235" s="153"/>
      <c r="P235" s="153"/>
      <c r="Q235" s="153"/>
      <c r="R235" s="153"/>
      <c r="S235" s="153"/>
      <c r="T235" s="153"/>
      <c r="U235" s="153"/>
      <c r="V235" s="153"/>
      <c r="W235" s="153"/>
      <c r="X235" s="153"/>
      <c r="Y235" s="153"/>
      <c r="Z235" s="153"/>
      <c r="AA235" s="153"/>
      <c r="AB235" s="153"/>
      <c r="AC235" s="153"/>
      <c r="AD235" s="153"/>
      <c r="AE235" s="153"/>
      <c r="AF235" s="153"/>
      <c r="AG235" s="153"/>
      <c r="AH235" s="153"/>
      <c r="AI235" s="153"/>
      <c r="AJ235" s="153"/>
      <c r="AK235" s="153"/>
      <c r="AL235" s="153"/>
      <c r="AM235" s="153"/>
      <c r="AN235" s="153"/>
      <c r="AO235" s="153"/>
      <c r="AP235" s="153"/>
      <c r="AQ235" s="153"/>
      <c r="AR235" s="153"/>
      <c r="AS235" s="153"/>
      <c r="AT235" s="153"/>
      <c r="AU235" s="153"/>
      <c r="AV235" s="153"/>
      <c r="AW235" s="153"/>
      <c r="AX235" s="153"/>
      <c r="AY235" s="153"/>
    </row>
    <row r="236" spans="1:51" x14ac:dyDescent="0.2">
      <c r="A236" s="62"/>
      <c r="B236" s="62"/>
      <c r="C236" s="62"/>
      <c r="D236" s="62"/>
      <c r="E236" s="62"/>
      <c r="F236" s="62"/>
      <c r="G236" s="62"/>
      <c r="H236" s="62"/>
      <c r="I236" s="62"/>
      <c r="O236" s="153"/>
      <c r="P236" s="153"/>
      <c r="Q236" s="153"/>
      <c r="R236" s="153"/>
      <c r="S236" s="153"/>
      <c r="T236" s="153"/>
      <c r="U236" s="153"/>
      <c r="V236" s="153"/>
      <c r="W236" s="153"/>
      <c r="X236" s="153"/>
      <c r="Y236" s="153"/>
      <c r="Z236" s="153"/>
      <c r="AA236" s="153"/>
      <c r="AB236" s="153"/>
      <c r="AC236" s="153"/>
      <c r="AD236" s="153"/>
      <c r="AE236" s="153"/>
      <c r="AF236" s="153"/>
      <c r="AG236" s="153"/>
      <c r="AH236" s="153"/>
      <c r="AI236" s="153"/>
      <c r="AJ236" s="153"/>
      <c r="AK236" s="153"/>
      <c r="AL236" s="153"/>
      <c r="AM236" s="153"/>
      <c r="AN236" s="153"/>
      <c r="AO236" s="153"/>
      <c r="AP236" s="153"/>
      <c r="AQ236" s="153"/>
      <c r="AR236" s="153"/>
      <c r="AS236" s="153"/>
      <c r="AT236" s="153"/>
      <c r="AU236" s="153"/>
      <c r="AV236" s="153"/>
      <c r="AW236" s="153"/>
      <c r="AX236" s="153"/>
      <c r="AY236" s="153"/>
    </row>
    <row r="237" spans="1:51" x14ac:dyDescent="0.2">
      <c r="A237" s="62"/>
      <c r="B237" s="62"/>
      <c r="C237" s="62"/>
      <c r="D237" s="62"/>
      <c r="E237" s="62"/>
      <c r="F237" s="62"/>
      <c r="G237" s="62"/>
      <c r="H237" s="62"/>
      <c r="O237" s="153"/>
      <c r="P237" s="153"/>
      <c r="Q237" s="153"/>
      <c r="R237" s="153"/>
      <c r="S237" s="153"/>
      <c r="T237" s="153"/>
      <c r="U237" s="153"/>
      <c r="V237" s="153"/>
      <c r="W237" s="153"/>
      <c r="X237" s="153"/>
      <c r="Y237" s="153"/>
      <c r="Z237" s="153"/>
      <c r="AA237" s="153"/>
      <c r="AB237" s="153"/>
      <c r="AC237" s="153"/>
      <c r="AD237" s="153"/>
      <c r="AE237" s="153"/>
      <c r="AF237" s="153"/>
      <c r="AG237" s="153"/>
      <c r="AH237" s="153"/>
      <c r="AI237" s="153"/>
      <c r="AJ237" s="153"/>
      <c r="AK237" s="153"/>
      <c r="AL237" s="153"/>
      <c r="AM237" s="153"/>
      <c r="AN237" s="153"/>
      <c r="AO237" s="153"/>
      <c r="AP237" s="153"/>
      <c r="AQ237" s="153"/>
      <c r="AR237" s="153"/>
      <c r="AS237" s="153"/>
      <c r="AT237" s="153"/>
      <c r="AU237" s="153"/>
      <c r="AV237" s="153"/>
      <c r="AW237" s="153"/>
      <c r="AX237" s="153"/>
      <c r="AY237" s="153"/>
    </row>
    <row r="238" spans="1:51" x14ac:dyDescent="0.2">
      <c r="A238" s="62"/>
      <c r="B238" s="62"/>
      <c r="C238" s="62"/>
      <c r="D238" s="62"/>
      <c r="E238" s="62"/>
      <c r="F238" s="62"/>
      <c r="G238" s="62"/>
      <c r="H238" s="62"/>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153"/>
      <c r="AM238" s="153"/>
      <c r="AN238" s="153"/>
      <c r="AO238" s="153"/>
      <c r="AP238" s="153"/>
      <c r="AQ238" s="153"/>
      <c r="AR238" s="153"/>
      <c r="AS238" s="153"/>
      <c r="AT238" s="153"/>
      <c r="AU238" s="153"/>
      <c r="AV238" s="153"/>
      <c r="AW238" s="153"/>
      <c r="AX238" s="153"/>
      <c r="AY238" s="153"/>
    </row>
    <row r="239" spans="1:51" x14ac:dyDescent="0.2">
      <c r="A239" s="62"/>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153"/>
      <c r="AM239" s="153"/>
      <c r="AN239" s="153"/>
      <c r="AO239" s="153"/>
      <c r="AP239" s="153"/>
      <c r="AQ239" s="153"/>
      <c r="AR239" s="153"/>
      <c r="AS239" s="153"/>
      <c r="AT239" s="153"/>
      <c r="AU239" s="153"/>
      <c r="AV239" s="153"/>
      <c r="AW239" s="153"/>
      <c r="AX239" s="153"/>
      <c r="AY239" s="153"/>
    </row>
    <row r="240" spans="1:51" x14ac:dyDescent="0.2">
      <c r="O240" s="153"/>
      <c r="P240" s="153"/>
      <c r="Q240" s="153"/>
      <c r="R240" s="153"/>
      <c r="S240" s="153"/>
      <c r="T240" s="153"/>
      <c r="U240" s="153"/>
      <c r="V240" s="153"/>
      <c r="W240" s="153"/>
      <c r="X240" s="153"/>
      <c r="Y240" s="153"/>
      <c r="Z240" s="153"/>
      <c r="AA240" s="153"/>
      <c r="AB240" s="153"/>
      <c r="AC240" s="153"/>
      <c r="AD240" s="153"/>
      <c r="AE240" s="153"/>
      <c r="AF240" s="153"/>
      <c r="AG240" s="153"/>
      <c r="AH240" s="153"/>
      <c r="AI240" s="153"/>
      <c r="AJ240" s="153"/>
      <c r="AK240" s="153"/>
      <c r="AL240" s="153"/>
      <c r="AM240" s="153"/>
      <c r="AN240" s="153"/>
      <c r="AO240" s="153"/>
      <c r="AP240" s="153"/>
      <c r="AQ240" s="153"/>
      <c r="AR240" s="153"/>
      <c r="AS240" s="153"/>
      <c r="AT240" s="153"/>
      <c r="AU240" s="153"/>
      <c r="AV240" s="153"/>
      <c r="AW240" s="153"/>
      <c r="AX240" s="153"/>
      <c r="AY240" s="153"/>
    </row>
    <row r="241" spans="15:51" x14ac:dyDescent="0.2">
      <c r="O241" s="153"/>
      <c r="P241" s="153"/>
      <c r="Q241" s="153"/>
      <c r="R241" s="153"/>
      <c r="S241" s="153"/>
      <c r="T241" s="153"/>
      <c r="U241" s="153"/>
      <c r="V241" s="153"/>
      <c r="W241" s="153"/>
      <c r="X241" s="153"/>
      <c r="Y241" s="153"/>
      <c r="Z241" s="153"/>
      <c r="AA241" s="153"/>
      <c r="AB241" s="153"/>
      <c r="AC241" s="153"/>
      <c r="AD241" s="153"/>
      <c r="AE241" s="153"/>
      <c r="AF241" s="153"/>
      <c r="AG241" s="153"/>
      <c r="AH241" s="153"/>
      <c r="AI241" s="153"/>
      <c r="AJ241" s="153"/>
      <c r="AK241" s="153"/>
      <c r="AL241" s="153"/>
      <c r="AM241" s="153"/>
      <c r="AN241" s="153"/>
      <c r="AO241" s="153"/>
      <c r="AP241" s="153"/>
      <c r="AQ241" s="153"/>
      <c r="AR241" s="153"/>
      <c r="AS241" s="153"/>
      <c r="AT241" s="153"/>
      <c r="AU241" s="153"/>
      <c r="AV241" s="153"/>
      <c r="AW241" s="153"/>
      <c r="AX241" s="153"/>
      <c r="AY241" s="153"/>
    </row>
    <row r="242" spans="15:51" x14ac:dyDescent="0.2">
      <c r="O242" s="153"/>
      <c r="P242" s="153"/>
      <c r="Q242" s="153"/>
      <c r="R242" s="153"/>
      <c r="S242" s="153"/>
      <c r="T242" s="153"/>
      <c r="U242" s="153"/>
      <c r="V242" s="153"/>
      <c r="W242" s="153"/>
      <c r="X242" s="153"/>
      <c r="Y242" s="153"/>
      <c r="Z242" s="153"/>
      <c r="AA242" s="153"/>
      <c r="AB242" s="153"/>
      <c r="AC242" s="153"/>
      <c r="AD242" s="153"/>
      <c r="AE242" s="153"/>
      <c r="AF242" s="153"/>
      <c r="AG242" s="153"/>
      <c r="AH242" s="153"/>
      <c r="AI242" s="153"/>
      <c r="AJ242" s="153"/>
      <c r="AK242" s="153"/>
      <c r="AL242" s="153"/>
      <c r="AM242" s="153"/>
      <c r="AN242" s="153"/>
      <c r="AO242" s="153"/>
      <c r="AP242" s="153"/>
      <c r="AQ242" s="153"/>
      <c r="AR242" s="153"/>
      <c r="AS242" s="153"/>
      <c r="AT242" s="153"/>
      <c r="AU242" s="153"/>
      <c r="AV242" s="153"/>
      <c r="AW242" s="153"/>
      <c r="AX242" s="153"/>
      <c r="AY242" s="153"/>
    </row>
    <row r="243" spans="15:51" x14ac:dyDescent="0.2">
      <c r="O243" s="153"/>
      <c r="P243" s="153"/>
      <c r="Q243" s="153"/>
      <c r="R243" s="153"/>
      <c r="S243" s="153"/>
      <c r="T243" s="153"/>
      <c r="U243" s="153"/>
      <c r="V243" s="153"/>
      <c r="W243" s="153"/>
      <c r="X243" s="153"/>
      <c r="Y243" s="153"/>
      <c r="Z243" s="153"/>
      <c r="AA243" s="153"/>
      <c r="AB243" s="153"/>
      <c r="AC243" s="153"/>
      <c r="AD243" s="153"/>
      <c r="AE243" s="153"/>
      <c r="AF243" s="153"/>
      <c r="AG243" s="153"/>
      <c r="AH243" s="153"/>
      <c r="AI243" s="153"/>
      <c r="AJ243" s="153"/>
      <c r="AK243" s="153"/>
      <c r="AL243" s="153"/>
      <c r="AM243" s="153"/>
      <c r="AN243" s="153"/>
      <c r="AO243" s="153"/>
      <c r="AP243" s="153"/>
      <c r="AQ243" s="153"/>
      <c r="AR243" s="153"/>
      <c r="AS243" s="153"/>
      <c r="AT243" s="153"/>
      <c r="AU243" s="153"/>
      <c r="AV243" s="153"/>
      <c r="AW243" s="153"/>
      <c r="AX243" s="153"/>
      <c r="AY243" s="153"/>
    </row>
    <row r="244" spans="15:51" x14ac:dyDescent="0.2">
      <c r="O244" s="153"/>
      <c r="P244" s="153"/>
      <c r="Q244" s="153"/>
      <c r="R244" s="153"/>
      <c r="S244" s="153"/>
      <c r="T244" s="153"/>
      <c r="U244" s="153"/>
      <c r="V244" s="153"/>
      <c r="W244" s="153"/>
      <c r="X244" s="153"/>
      <c r="Y244" s="153"/>
      <c r="Z244" s="153"/>
      <c r="AA244" s="153"/>
      <c r="AB244" s="153"/>
      <c r="AC244" s="153"/>
      <c r="AD244" s="153"/>
      <c r="AE244" s="153"/>
      <c r="AF244" s="153"/>
      <c r="AG244" s="153"/>
      <c r="AH244" s="153"/>
      <c r="AI244" s="153"/>
      <c r="AJ244" s="153"/>
      <c r="AK244" s="153"/>
      <c r="AL244" s="153"/>
      <c r="AM244" s="153"/>
      <c r="AN244" s="153"/>
      <c r="AO244" s="153"/>
      <c r="AP244" s="153"/>
      <c r="AQ244" s="153"/>
      <c r="AR244" s="153"/>
      <c r="AS244" s="153"/>
      <c r="AT244" s="153"/>
      <c r="AU244" s="153"/>
      <c r="AV244" s="153"/>
      <c r="AW244" s="153"/>
      <c r="AX244" s="153"/>
      <c r="AY244" s="153"/>
    </row>
    <row r="245" spans="15:51" x14ac:dyDescent="0.2">
      <c r="O245" s="153"/>
      <c r="P245" s="153"/>
      <c r="Q245" s="153"/>
      <c r="R245" s="153"/>
      <c r="S245" s="153"/>
      <c r="T245" s="153"/>
      <c r="U245" s="153"/>
      <c r="V245" s="153"/>
      <c r="W245" s="153"/>
      <c r="X245" s="153"/>
      <c r="Y245" s="153"/>
      <c r="Z245" s="153"/>
      <c r="AA245" s="153"/>
      <c r="AB245" s="153"/>
      <c r="AC245" s="153"/>
      <c r="AD245" s="153"/>
      <c r="AE245" s="153"/>
      <c r="AF245" s="153"/>
      <c r="AG245" s="153"/>
      <c r="AH245" s="153"/>
      <c r="AI245" s="153"/>
      <c r="AJ245" s="153"/>
      <c r="AK245" s="153"/>
      <c r="AL245" s="153"/>
      <c r="AM245" s="153"/>
      <c r="AN245" s="153"/>
      <c r="AO245" s="153"/>
      <c r="AP245" s="153"/>
      <c r="AQ245" s="153"/>
      <c r="AR245" s="153"/>
      <c r="AS245" s="153"/>
      <c r="AT245" s="153"/>
      <c r="AU245" s="153"/>
      <c r="AV245" s="153"/>
      <c r="AW245" s="153"/>
      <c r="AX245" s="153"/>
      <c r="AY245" s="153"/>
    </row>
    <row r="246" spans="15:51" x14ac:dyDescent="0.2">
      <c r="O246" s="153"/>
      <c r="P246" s="153"/>
      <c r="Q246" s="153"/>
      <c r="R246" s="153"/>
      <c r="S246" s="153"/>
      <c r="T246" s="153"/>
      <c r="U246" s="153"/>
      <c r="V246" s="153"/>
      <c r="W246" s="153"/>
      <c r="X246" s="153"/>
      <c r="Y246" s="153"/>
      <c r="Z246" s="153"/>
      <c r="AA246" s="153"/>
      <c r="AB246" s="153"/>
      <c r="AC246" s="153"/>
      <c r="AD246" s="153"/>
      <c r="AE246" s="153"/>
      <c r="AF246" s="153"/>
      <c r="AG246" s="153"/>
      <c r="AH246" s="153"/>
      <c r="AI246" s="153"/>
      <c r="AJ246" s="153"/>
      <c r="AK246" s="153"/>
      <c r="AL246" s="153"/>
      <c r="AM246" s="153"/>
      <c r="AN246" s="153"/>
      <c r="AO246" s="153"/>
      <c r="AP246" s="153"/>
      <c r="AQ246" s="153"/>
      <c r="AR246" s="153"/>
      <c r="AS246" s="153"/>
      <c r="AT246" s="153"/>
      <c r="AU246" s="153"/>
      <c r="AV246" s="153"/>
      <c r="AW246" s="153"/>
      <c r="AX246" s="153"/>
      <c r="AY246" s="153"/>
    </row>
    <row r="247" spans="15:51" x14ac:dyDescent="0.2">
      <c r="O247" s="153"/>
      <c r="P247" s="153"/>
      <c r="Q247" s="153"/>
      <c r="R247" s="153"/>
      <c r="S247" s="153"/>
      <c r="T247" s="153"/>
      <c r="U247" s="153"/>
      <c r="V247" s="153"/>
      <c r="W247" s="153"/>
      <c r="X247" s="153"/>
      <c r="Y247" s="153"/>
      <c r="Z247" s="153"/>
      <c r="AA247" s="153"/>
      <c r="AB247" s="153"/>
      <c r="AC247" s="153"/>
      <c r="AD247" s="153"/>
      <c r="AE247" s="153"/>
      <c r="AF247" s="153"/>
      <c r="AG247" s="153"/>
      <c r="AH247" s="153"/>
      <c r="AI247" s="153"/>
      <c r="AJ247" s="153"/>
      <c r="AK247" s="153"/>
      <c r="AL247" s="153"/>
      <c r="AM247" s="153"/>
      <c r="AN247" s="153"/>
      <c r="AO247" s="153"/>
      <c r="AP247" s="153"/>
      <c r="AQ247" s="153"/>
      <c r="AR247" s="153"/>
      <c r="AS247" s="153"/>
      <c r="AT247" s="153"/>
      <c r="AU247" s="153"/>
      <c r="AV247" s="153"/>
      <c r="AW247" s="153"/>
      <c r="AX247" s="153"/>
      <c r="AY247" s="153"/>
    </row>
    <row r="248" spans="15:51" x14ac:dyDescent="0.2">
      <c r="O248" s="153"/>
      <c r="P248" s="153"/>
      <c r="Q248" s="153"/>
      <c r="R248" s="153"/>
      <c r="S248" s="153"/>
      <c r="T248" s="153"/>
      <c r="U248" s="153"/>
      <c r="V248" s="153"/>
      <c r="W248" s="153"/>
      <c r="X248" s="153"/>
      <c r="Y248" s="153"/>
      <c r="Z248" s="153"/>
      <c r="AA248" s="153"/>
      <c r="AB248" s="153"/>
      <c r="AC248" s="153"/>
      <c r="AD248" s="153"/>
      <c r="AE248" s="153"/>
      <c r="AF248" s="153"/>
      <c r="AG248" s="153"/>
      <c r="AH248" s="153"/>
      <c r="AI248" s="153"/>
      <c r="AJ248" s="153"/>
      <c r="AK248" s="153"/>
      <c r="AL248" s="153"/>
      <c r="AM248" s="153"/>
      <c r="AN248" s="153"/>
      <c r="AO248" s="153"/>
      <c r="AP248" s="153"/>
      <c r="AQ248" s="153"/>
      <c r="AR248" s="153"/>
      <c r="AS248" s="153"/>
      <c r="AT248" s="153"/>
      <c r="AU248" s="153"/>
      <c r="AV248" s="153"/>
      <c r="AW248" s="153"/>
      <c r="AX248" s="153"/>
      <c r="AY248" s="153"/>
    </row>
    <row r="249" spans="15:51" x14ac:dyDescent="0.2">
      <c r="O249" s="153"/>
      <c r="P249" s="153"/>
      <c r="Q249" s="153"/>
      <c r="R249" s="153"/>
      <c r="S249" s="153"/>
      <c r="T249" s="153"/>
      <c r="U249" s="153"/>
      <c r="V249" s="153"/>
      <c r="W249" s="153"/>
      <c r="X249" s="153"/>
      <c r="Y249" s="153"/>
      <c r="Z249" s="153"/>
      <c r="AA249" s="153"/>
      <c r="AB249" s="153"/>
      <c r="AC249" s="153"/>
      <c r="AD249" s="153"/>
      <c r="AE249" s="153"/>
      <c r="AF249" s="153"/>
      <c r="AG249" s="153"/>
      <c r="AH249" s="153"/>
      <c r="AI249" s="153"/>
      <c r="AJ249" s="153"/>
      <c r="AK249" s="153"/>
      <c r="AL249" s="153"/>
      <c r="AM249" s="153"/>
      <c r="AN249" s="153"/>
      <c r="AO249" s="153"/>
      <c r="AP249" s="153"/>
      <c r="AQ249" s="153"/>
      <c r="AR249" s="153"/>
      <c r="AS249" s="153"/>
      <c r="AT249" s="153"/>
      <c r="AU249" s="153"/>
      <c r="AV249" s="153"/>
      <c r="AW249" s="153"/>
      <c r="AX249" s="153"/>
      <c r="AY249" s="153"/>
    </row>
    <row r="250" spans="15:51" x14ac:dyDescent="0.2">
      <c r="O250" s="153"/>
      <c r="P250" s="153"/>
      <c r="Q250" s="153"/>
      <c r="R250" s="153"/>
      <c r="S250" s="153"/>
      <c r="T250" s="153"/>
      <c r="U250" s="153"/>
      <c r="V250" s="153"/>
      <c r="W250" s="153"/>
      <c r="X250" s="153"/>
      <c r="Y250" s="153"/>
      <c r="Z250" s="153"/>
      <c r="AA250" s="153"/>
      <c r="AB250" s="153"/>
      <c r="AC250" s="153"/>
      <c r="AD250" s="153"/>
      <c r="AE250" s="153"/>
      <c r="AF250" s="153"/>
      <c r="AG250" s="153"/>
      <c r="AH250" s="153"/>
      <c r="AI250" s="153"/>
      <c r="AJ250" s="153"/>
      <c r="AK250" s="153"/>
      <c r="AL250" s="153"/>
      <c r="AM250" s="153"/>
      <c r="AN250" s="153"/>
      <c r="AO250" s="153"/>
      <c r="AP250" s="153"/>
      <c r="AQ250" s="153"/>
      <c r="AR250" s="153"/>
      <c r="AS250" s="153"/>
      <c r="AT250" s="153"/>
      <c r="AU250" s="153"/>
      <c r="AV250" s="153"/>
      <c r="AW250" s="153"/>
      <c r="AX250" s="153"/>
      <c r="AY250" s="153"/>
    </row>
    <row r="251" spans="15:51" x14ac:dyDescent="0.2">
      <c r="O251" s="153"/>
      <c r="P251" s="153"/>
      <c r="Q251" s="153"/>
      <c r="R251" s="153"/>
      <c r="S251" s="153"/>
      <c r="T251" s="153"/>
      <c r="U251" s="153"/>
      <c r="V251" s="153"/>
      <c r="W251" s="153"/>
      <c r="X251" s="153"/>
      <c r="Y251" s="153"/>
      <c r="Z251" s="153"/>
      <c r="AA251" s="153"/>
      <c r="AB251" s="153"/>
      <c r="AC251" s="153"/>
      <c r="AD251" s="153"/>
      <c r="AE251" s="153"/>
      <c r="AF251" s="153"/>
      <c r="AG251" s="153"/>
      <c r="AH251" s="153"/>
      <c r="AI251" s="153"/>
      <c r="AJ251" s="153"/>
      <c r="AK251" s="153"/>
      <c r="AL251" s="153"/>
      <c r="AM251" s="153"/>
      <c r="AN251" s="153"/>
      <c r="AO251" s="153"/>
      <c r="AP251" s="153"/>
      <c r="AQ251" s="153"/>
      <c r="AR251" s="153"/>
      <c r="AS251" s="153"/>
      <c r="AT251" s="153"/>
      <c r="AU251" s="153"/>
      <c r="AV251" s="153"/>
      <c r="AW251" s="153"/>
      <c r="AX251" s="153"/>
      <c r="AY251" s="153"/>
    </row>
    <row r="252" spans="15:51" x14ac:dyDescent="0.2">
      <c r="O252" s="153"/>
      <c r="P252" s="153"/>
      <c r="Q252" s="153"/>
      <c r="R252" s="153"/>
      <c r="S252" s="153"/>
      <c r="T252" s="153"/>
      <c r="U252" s="153"/>
      <c r="V252" s="153"/>
      <c r="W252" s="153"/>
      <c r="X252" s="153"/>
      <c r="Y252" s="153"/>
      <c r="Z252" s="153"/>
      <c r="AA252" s="153"/>
      <c r="AB252" s="153"/>
      <c r="AC252" s="153"/>
      <c r="AD252" s="153"/>
      <c r="AE252" s="153"/>
      <c r="AF252" s="153"/>
      <c r="AG252" s="153"/>
      <c r="AH252" s="153"/>
      <c r="AI252" s="153"/>
      <c r="AJ252" s="153"/>
      <c r="AK252" s="153"/>
      <c r="AL252" s="153"/>
      <c r="AM252" s="153"/>
      <c r="AN252" s="153"/>
      <c r="AO252" s="153"/>
      <c r="AP252" s="153"/>
      <c r="AQ252" s="153"/>
      <c r="AR252" s="153"/>
      <c r="AS252" s="153"/>
      <c r="AT252" s="153"/>
      <c r="AU252" s="153"/>
      <c r="AV252" s="153"/>
      <c r="AW252" s="153"/>
      <c r="AX252" s="153"/>
      <c r="AY252" s="153"/>
    </row>
    <row r="253" spans="15:51" x14ac:dyDescent="0.2">
      <c r="O253" s="153"/>
      <c r="P253" s="153"/>
      <c r="Q253" s="153"/>
      <c r="R253" s="153"/>
      <c r="S253" s="153"/>
      <c r="T253" s="153"/>
      <c r="U253" s="153"/>
      <c r="V253" s="153"/>
      <c r="W253" s="153"/>
      <c r="X253" s="153"/>
      <c r="Y253" s="153"/>
      <c r="Z253" s="153"/>
      <c r="AA253" s="153"/>
      <c r="AB253" s="153"/>
      <c r="AC253" s="153"/>
      <c r="AD253" s="153"/>
      <c r="AE253" s="153"/>
      <c r="AF253" s="153"/>
      <c r="AG253" s="153"/>
      <c r="AH253" s="153"/>
      <c r="AI253" s="153"/>
      <c r="AJ253" s="153"/>
      <c r="AK253" s="153"/>
      <c r="AL253" s="153"/>
      <c r="AM253" s="153"/>
      <c r="AN253" s="153"/>
      <c r="AO253" s="153"/>
      <c r="AP253" s="153"/>
      <c r="AQ253" s="153"/>
      <c r="AR253" s="153"/>
      <c r="AS253" s="153"/>
      <c r="AT253" s="153"/>
      <c r="AU253" s="153"/>
      <c r="AV253" s="153"/>
      <c r="AW253" s="153"/>
      <c r="AX253" s="153"/>
      <c r="AY253" s="153"/>
    </row>
    <row r="254" spans="15:51" x14ac:dyDescent="0.2">
      <c r="O254" s="153"/>
      <c r="P254" s="153"/>
      <c r="Q254" s="153"/>
      <c r="R254" s="153"/>
      <c r="S254" s="153"/>
      <c r="T254" s="153"/>
      <c r="U254" s="153"/>
      <c r="V254" s="153"/>
      <c r="W254" s="153"/>
      <c r="X254" s="153"/>
      <c r="Y254" s="153"/>
      <c r="Z254" s="153"/>
      <c r="AA254" s="153"/>
      <c r="AB254" s="153"/>
      <c r="AC254" s="153"/>
      <c r="AD254" s="153"/>
      <c r="AE254" s="153"/>
      <c r="AF254" s="153"/>
      <c r="AG254" s="153"/>
      <c r="AH254" s="153"/>
      <c r="AI254" s="153"/>
      <c r="AJ254" s="153"/>
      <c r="AK254" s="153"/>
      <c r="AL254" s="153"/>
      <c r="AM254" s="153"/>
      <c r="AN254" s="153"/>
      <c r="AO254" s="153"/>
      <c r="AP254" s="153"/>
      <c r="AQ254" s="153"/>
      <c r="AR254" s="153"/>
      <c r="AS254" s="153"/>
      <c r="AT254" s="153"/>
      <c r="AU254" s="153"/>
      <c r="AV254" s="153"/>
      <c r="AW254" s="153"/>
      <c r="AX254" s="153"/>
      <c r="AY254" s="153"/>
    </row>
    <row r="255" spans="15:51" x14ac:dyDescent="0.2">
      <c r="O255" s="153"/>
      <c r="P255" s="153"/>
      <c r="Q255" s="153"/>
      <c r="R255" s="153"/>
      <c r="S255" s="153"/>
      <c r="T255" s="153"/>
      <c r="U255" s="153"/>
      <c r="V255" s="153"/>
      <c r="W255" s="153"/>
      <c r="X255" s="153"/>
      <c r="Y255" s="153"/>
      <c r="Z255" s="153"/>
      <c r="AA255" s="153"/>
      <c r="AB255" s="153"/>
      <c r="AC255" s="153"/>
      <c r="AD255" s="153"/>
      <c r="AE255" s="153"/>
      <c r="AF255" s="153"/>
      <c r="AG255" s="153"/>
      <c r="AH255" s="153"/>
      <c r="AI255" s="153"/>
      <c r="AJ255" s="153"/>
      <c r="AK255" s="153"/>
      <c r="AL255" s="153"/>
      <c r="AM255" s="153"/>
      <c r="AN255" s="153"/>
      <c r="AO255" s="153"/>
      <c r="AP255" s="153"/>
      <c r="AQ255" s="153"/>
      <c r="AR255" s="153"/>
      <c r="AS255" s="153"/>
      <c r="AT255" s="153"/>
      <c r="AU255" s="153"/>
      <c r="AV255" s="153"/>
      <c r="AW255" s="153"/>
      <c r="AX255" s="153"/>
      <c r="AY255" s="153"/>
    </row>
    <row r="256" spans="15:51" x14ac:dyDescent="0.2">
      <c r="O256" s="153"/>
      <c r="P256" s="153"/>
      <c r="Q256" s="153"/>
      <c r="R256" s="153"/>
      <c r="S256" s="153"/>
      <c r="T256" s="153"/>
      <c r="U256" s="153"/>
      <c r="V256" s="153"/>
      <c r="W256" s="153"/>
      <c r="X256" s="153"/>
      <c r="Y256" s="153"/>
      <c r="Z256" s="153"/>
      <c r="AA256" s="153"/>
      <c r="AB256" s="153"/>
      <c r="AC256" s="153"/>
      <c r="AD256" s="153"/>
      <c r="AE256" s="153"/>
      <c r="AF256" s="153"/>
      <c r="AG256" s="153"/>
      <c r="AH256" s="153"/>
      <c r="AI256" s="153"/>
      <c r="AJ256" s="153"/>
      <c r="AK256" s="153"/>
      <c r="AL256" s="153"/>
      <c r="AM256" s="153"/>
      <c r="AN256" s="153"/>
      <c r="AO256" s="153"/>
      <c r="AP256" s="153"/>
      <c r="AQ256" s="153"/>
      <c r="AR256" s="153"/>
      <c r="AS256" s="153"/>
      <c r="AT256" s="153"/>
      <c r="AU256" s="153"/>
      <c r="AV256" s="153"/>
      <c r="AW256" s="153"/>
      <c r="AX256" s="153"/>
      <c r="AY256" s="153"/>
    </row>
    <row r="257" spans="15:51" x14ac:dyDescent="0.2">
      <c r="O257" s="153"/>
      <c r="P257" s="153"/>
      <c r="Q257" s="153"/>
      <c r="R257" s="153"/>
      <c r="S257" s="153"/>
      <c r="T257" s="153"/>
      <c r="U257" s="153"/>
      <c r="V257" s="153"/>
      <c r="W257" s="153"/>
      <c r="X257" s="153"/>
      <c r="Y257" s="153"/>
      <c r="Z257" s="153"/>
      <c r="AA257" s="153"/>
      <c r="AB257" s="153"/>
      <c r="AC257" s="153"/>
      <c r="AD257" s="153"/>
      <c r="AE257" s="153"/>
      <c r="AF257" s="153"/>
      <c r="AG257" s="153"/>
      <c r="AH257" s="153"/>
      <c r="AI257" s="153"/>
      <c r="AJ257" s="153"/>
      <c r="AK257" s="153"/>
      <c r="AL257" s="153"/>
      <c r="AM257" s="153"/>
      <c r="AN257" s="153"/>
      <c r="AO257" s="153"/>
      <c r="AP257" s="153"/>
      <c r="AQ257" s="153"/>
      <c r="AR257" s="153"/>
      <c r="AS257" s="153"/>
      <c r="AT257" s="153"/>
      <c r="AU257" s="153"/>
      <c r="AV257" s="153"/>
      <c r="AW257" s="153"/>
      <c r="AX257" s="153"/>
      <c r="AY257" s="153"/>
    </row>
    <row r="258" spans="15:51" x14ac:dyDescent="0.2">
      <c r="O258" s="153"/>
      <c r="P258" s="153"/>
      <c r="Q258" s="153"/>
      <c r="R258" s="153"/>
      <c r="S258" s="153"/>
      <c r="T258" s="153"/>
      <c r="U258" s="153"/>
      <c r="V258" s="153"/>
      <c r="W258" s="153"/>
      <c r="X258" s="153"/>
      <c r="Y258" s="153"/>
      <c r="Z258" s="153"/>
      <c r="AA258" s="153"/>
      <c r="AB258" s="153"/>
      <c r="AC258" s="153"/>
      <c r="AD258" s="153"/>
      <c r="AE258" s="153"/>
      <c r="AF258" s="153"/>
      <c r="AG258" s="153"/>
      <c r="AH258" s="153"/>
      <c r="AI258" s="153"/>
      <c r="AJ258" s="153"/>
      <c r="AK258" s="153"/>
      <c r="AL258" s="153"/>
      <c r="AM258" s="153"/>
      <c r="AN258" s="153"/>
      <c r="AO258" s="153"/>
      <c r="AP258" s="153"/>
      <c r="AQ258" s="153"/>
      <c r="AR258" s="153"/>
      <c r="AS258" s="153"/>
      <c r="AT258" s="153"/>
      <c r="AU258" s="153"/>
      <c r="AV258" s="153"/>
      <c r="AW258" s="153"/>
      <c r="AX258" s="153"/>
      <c r="AY258" s="153"/>
    </row>
    <row r="259" spans="15:51" x14ac:dyDescent="0.2">
      <c r="O259" s="153"/>
      <c r="P259" s="153"/>
      <c r="Q259" s="153"/>
      <c r="R259" s="153"/>
      <c r="S259" s="153"/>
      <c r="T259" s="153"/>
      <c r="U259" s="153"/>
      <c r="V259" s="153"/>
      <c r="W259" s="153"/>
      <c r="X259" s="153"/>
      <c r="Y259" s="153"/>
      <c r="Z259" s="153"/>
      <c r="AA259" s="153"/>
      <c r="AB259" s="153"/>
      <c r="AC259" s="153"/>
      <c r="AD259" s="153"/>
      <c r="AE259" s="153"/>
      <c r="AF259" s="153"/>
      <c r="AG259" s="153"/>
      <c r="AH259" s="153"/>
      <c r="AI259" s="153"/>
      <c r="AJ259" s="153"/>
      <c r="AK259" s="153"/>
      <c r="AL259" s="153"/>
      <c r="AM259" s="153"/>
      <c r="AN259" s="153"/>
      <c r="AO259" s="153"/>
      <c r="AP259" s="153"/>
      <c r="AQ259" s="153"/>
      <c r="AR259" s="153"/>
      <c r="AS259" s="153"/>
      <c r="AT259" s="153"/>
      <c r="AU259" s="153"/>
      <c r="AV259" s="153"/>
      <c r="AW259" s="153"/>
      <c r="AX259" s="153"/>
      <c r="AY259" s="153"/>
    </row>
    <row r="260" spans="15:51" x14ac:dyDescent="0.2">
      <c r="O260" s="153"/>
      <c r="P260" s="153"/>
      <c r="Q260" s="153"/>
      <c r="R260" s="153"/>
      <c r="S260" s="153"/>
      <c r="T260" s="153"/>
      <c r="U260" s="153"/>
      <c r="V260" s="153"/>
      <c r="W260" s="153"/>
      <c r="X260" s="153"/>
      <c r="Y260" s="153"/>
      <c r="Z260" s="153"/>
      <c r="AA260" s="153"/>
      <c r="AB260" s="153"/>
      <c r="AC260" s="153"/>
      <c r="AD260" s="153"/>
      <c r="AE260" s="153"/>
      <c r="AF260" s="153"/>
      <c r="AG260" s="153"/>
      <c r="AH260" s="153"/>
      <c r="AI260" s="153"/>
      <c r="AJ260" s="153"/>
      <c r="AK260" s="153"/>
      <c r="AL260" s="153"/>
      <c r="AM260" s="153"/>
      <c r="AN260" s="153"/>
      <c r="AO260" s="153"/>
      <c r="AP260" s="153"/>
      <c r="AQ260" s="153"/>
      <c r="AR260" s="153"/>
      <c r="AS260" s="153"/>
      <c r="AT260" s="153"/>
      <c r="AU260" s="153"/>
      <c r="AV260" s="153"/>
      <c r="AW260" s="153"/>
      <c r="AX260" s="153"/>
      <c r="AY260" s="153"/>
    </row>
    <row r="261" spans="15:51" x14ac:dyDescent="0.2">
      <c r="O261" s="153"/>
      <c r="P261" s="153"/>
      <c r="Q261" s="153"/>
      <c r="R261" s="153"/>
      <c r="S261" s="153"/>
      <c r="T261" s="153"/>
      <c r="U261" s="153"/>
      <c r="V261" s="153"/>
      <c r="W261" s="153"/>
      <c r="X261" s="153"/>
      <c r="Y261" s="153"/>
      <c r="Z261" s="153"/>
      <c r="AA261" s="153"/>
      <c r="AB261" s="153"/>
      <c r="AC261" s="153"/>
      <c r="AD261" s="153"/>
      <c r="AE261" s="153"/>
      <c r="AF261" s="153"/>
      <c r="AG261" s="153"/>
      <c r="AH261" s="153"/>
      <c r="AI261" s="153"/>
      <c r="AJ261" s="153"/>
      <c r="AK261" s="153"/>
      <c r="AL261" s="153"/>
      <c r="AM261" s="153"/>
      <c r="AN261" s="153"/>
      <c r="AO261" s="153"/>
      <c r="AP261" s="153"/>
      <c r="AQ261" s="153"/>
      <c r="AR261" s="153"/>
      <c r="AS261" s="153"/>
      <c r="AT261" s="153"/>
      <c r="AU261" s="153"/>
      <c r="AV261" s="153"/>
      <c r="AW261" s="153"/>
      <c r="AX261" s="153"/>
      <c r="AY261" s="153"/>
    </row>
    <row r="262" spans="15:51" x14ac:dyDescent="0.2">
      <c r="O262" s="153"/>
      <c r="P262" s="153"/>
      <c r="Q262" s="153"/>
      <c r="R262" s="153"/>
      <c r="S262" s="153"/>
      <c r="T262" s="153"/>
      <c r="U262" s="153"/>
      <c r="V262" s="153"/>
      <c r="W262" s="153"/>
      <c r="X262" s="153"/>
      <c r="Y262" s="153"/>
      <c r="Z262" s="153"/>
      <c r="AA262" s="153"/>
      <c r="AB262" s="153"/>
      <c r="AC262" s="153"/>
      <c r="AD262" s="153"/>
      <c r="AE262" s="153"/>
      <c r="AF262" s="153"/>
      <c r="AG262" s="153"/>
      <c r="AH262" s="153"/>
      <c r="AI262" s="153"/>
      <c r="AJ262" s="153"/>
      <c r="AK262" s="153"/>
      <c r="AL262" s="153"/>
      <c r="AM262" s="153"/>
      <c r="AN262" s="153"/>
      <c r="AO262" s="153"/>
      <c r="AP262" s="153"/>
      <c r="AQ262" s="153"/>
      <c r="AR262" s="153"/>
      <c r="AS262" s="153"/>
      <c r="AT262" s="153"/>
      <c r="AU262" s="153"/>
      <c r="AV262" s="153"/>
      <c r="AW262" s="153"/>
      <c r="AX262" s="153"/>
      <c r="AY262" s="153"/>
    </row>
    <row r="263" spans="15:51" x14ac:dyDescent="0.2">
      <c r="O263" s="153"/>
      <c r="P263" s="153"/>
      <c r="Q263" s="153"/>
      <c r="R263" s="153"/>
      <c r="S263" s="153"/>
      <c r="T263" s="153"/>
      <c r="U263" s="153"/>
      <c r="V263" s="153"/>
      <c r="W263" s="153"/>
      <c r="X263" s="153"/>
      <c r="Y263" s="153"/>
      <c r="Z263" s="153"/>
      <c r="AA263" s="153"/>
      <c r="AB263" s="153"/>
      <c r="AC263" s="153"/>
      <c r="AD263" s="153"/>
      <c r="AE263" s="153"/>
      <c r="AF263" s="153"/>
      <c r="AG263" s="153"/>
      <c r="AH263" s="153"/>
      <c r="AI263" s="153"/>
      <c r="AJ263" s="153"/>
      <c r="AK263" s="153"/>
      <c r="AL263" s="153"/>
      <c r="AM263" s="153"/>
      <c r="AN263" s="153"/>
      <c r="AO263" s="153"/>
      <c r="AP263" s="153"/>
      <c r="AQ263" s="153"/>
      <c r="AR263" s="153"/>
      <c r="AS263" s="153"/>
      <c r="AT263" s="153"/>
      <c r="AU263" s="153"/>
      <c r="AV263" s="153"/>
      <c r="AW263" s="153"/>
      <c r="AX263" s="153"/>
      <c r="AY263" s="153"/>
    </row>
    <row r="264" spans="15:51" x14ac:dyDescent="0.2">
      <c r="O264" s="153"/>
      <c r="P264" s="153"/>
      <c r="Q264" s="153"/>
      <c r="R264" s="153"/>
      <c r="S264" s="153"/>
      <c r="T264" s="153"/>
      <c r="U264" s="153"/>
      <c r="V264" s="153"/>
      <c r="W264" s="153"/>
      <c r="X264" s="153"/>
      <c r="Y264" s="153"/>
      <c r="Z264" s="153"/>
      <c r="AA264" s="153"/>
      <c r="AB264" s="153"/>
      <c r="AC264" s="153"/>
      <c r="AD264" s="153"/>
      <c r="AE264" s="153"/>
      <c r="AF264" s="153"/>
      <c r="AG264" s="153"/>
      <c r="AH264" s="153"/>
      <c r="AI264" s="153"/>
      <c r="AJ264" s="153"/>
      <c r="AK264" s="153"/>
      <c r="AL264" s="153"/>
      <c r="AM264" s="153"/>
      <c r="AN264" s="153"/>
      <c r="AO264" s="153"/>
      <c r="AP264" s="153"/>
      <c r="AQ264" s="153"/>
      <c r="AR264" s="153"/>
      <c r="AS264" s="153"/>
      <c r="AT264" s="153"/>
      <c r="AU264" s="153"/>
      <c r="AV264" s="153"/>
      <c r="AW264" s="153"/>
      <c r="AX264" s="153"/>
      <c r="AY264" s="153"/>
    </row>
    <row r="265" spans="15:51" x14ac:dyDescent="0.2">
      <c r="O265" s="153"/>
      <c r="P265" s="153"/>
      <c r="Q265" s="153"/>
      <c r="R265" s="153"/>
      <c r="S265" s="153"/>
      <c r="T265" s="153"/>
      <c r="U265" s="153"/>
      <c r="V265" s="153"/>
      <c r="W265" s="153"/>
      <c r="X265" s="153"/>
      <c r="Y265" s="153"/>
      <c r="Z265" s="153"/>
      <c r="AA265" s="153"/>
      <c r="AB265" s="153"/>
      <c r="AC265" s="153"/>
      <c r="AD265" s="153"/>
      <c r="AE265" s="153"/>
      <c r="AF265" s="153"/>
      <c r="AG265" s="153"/>
      <c r="AH265" s="153"/>
      <c r="AI265" s="153"/>
      <c r="AJ265" s="153"/>
      <c r="AK265" s="153"/>
      <c r="AL265" s="153"/>
      <c r="AM265" s="153"/>
      <c r="AN265" s="153"/>
      <c r="AO265" s="153"/>
      <c r="AP265" s="153"/>
      <c r="AQ265" s="153"/>
      <c r="AR265" s="153"/>
      <c r="AS265" s="153"/>
      <c r="AT265" s="153"/>
      <c r="AU265" s="153"/>
      <c r="AV265" s="153"/>
      <c r="AW265" s="153"/>
      <c r="AX265" s="153"/>
      <c r="AY265" s="153"/>
    </row>
    <row r="266" spans="15:51" x14ac:dyDescent="0.2">
      <c r="O266" s="153"/>
      <c r="P266" s="153"/>
      <c r="Q266" s="153"/>
      <c r="R266" s="153"/>
      <c r="S266" s="153"/>
      <c r="T266" s="153"/>
      <c r="U266" s="153"/>
      <c r="V266" s="153"/>
      <c r="W266" s="153"/>
      <c r="X266" s="153"/>
      <c r="Y266" s="153"/>
      <c r="Z266" s="153"/>
      <c r="AA266" s="153"/>
      <c r="AB266" s="153"/>
      <c r="AC266" s="153"/>
      <c r="AD266" s="153"/>
      <c r="AE266" s="153"/>
      <c r="AF266" s="153"/>
      <c r="AG266" s="153"/>
      <c r="AH266" s="153"/>
      <c r="AI266" s="153"/>
      <c r="AJ266" s="153"/>
      <c r="AK266" s="153"/>
      <c r="AL266" s="153"/>
      <c r="AM266" s="153"/>
      <c r="AN266" s="153"/>
      <c r="AO266" s="153"/>
      <c r="AP266" s="153"/>
      <c r="AQ266" s="153"/>
      <c r="AR266" s="153"/>
      <c r="AS266" s="153"/>
      <c r="AT266" s="153"/>
      <c r="AU266" s="153"/>
      <c r="AV266" s="153"/>
      <c r="AW266" s="153"/>
      <c r="AX266" s="153"/>
      <c r="AY266" s="153"/>
    </row>
    <row r="267" spans="15:51" x14ac:dyDescent="0.2">
      <c r="O267" s="153"/>
      <c r="P267" s="153"/>
      <c r="Q267" s="153"/>
      <c r="R267" s="153"/>
      <c r="S267" s="153"/>
      <c r="T267" s="153"/>
      <c r="U267" s="153"/>
      <c r="V267" s="153"/>
      <c r="W267" s="153"/>
      <c r="X267" s="153"/>
      <c r="Y267" s="153"/>
      <c r="Z267" s="153"/>
      <c r="AA267" s="153"/>
      <c r="AB267" s="153"/>
      <c r="AC267" s="153"/>
      <c r="AD267" s="153"/>
      <c r="AE267" s="153"/>
      <c r="AF267" s="153"/>
      <c r="AG267" s="153"/>
      <c r="AH267" s="153"/>
      <c r="AI267" s="153"/>
      <c r="AJ267" s="153"/>
      <c r="AK267" s="153"/>
      <c r="AL267" s="153"/>
      <c r="AM267" s="153"/>
      <c r="AN267" s="153"/>
      <c r="AO267" s="153"/>
      <c r="AP267" s="153"/>
      <c r="AQ267" s="153"/>
      <c r="AR267" s="153"/>
      <c r="AS267" s="153"/>
      <c r="AT267" s="153"/>
      <c r="AU267" s="153"/>
      <c r="AV267" s="153"/>
      <c r="AW267" s="153"/>
      <c r="AX267" s="153"/>
      <c r="AY267" s="153"/>
    </row>
    <row r="268" spans="15:51" x14ac:dyDescent="0.2">
      <c r="O268" s="153"/>
      <c r="P268" s="153"/>
      <c r="Q268" s="153"/>
      <c r="R268" s="153"/>
      <c r="S268" s="153"/>
      <c r="T268" s="153"/>
      <c r="U268" s="153"/>
      <c r="V268" s="153"/>
      <c r="W268" s="153"/>
      <c r="X268" s="153"/>
      <c r="Y268" s="153"/>
      <c r="Z268" s="153"/>
      <c r="AA268" s="153"/>
      <c r="AB268" s="153"/>
      <c r="AC268" s="153"/>
      <c r="AD268" s="153"/>
      <c r="AE268" s="153"/>
      <c r="AF268" s="153"/>
      <c r="AG268" s="153"/>
      <c r="AH268" s="153"/>
      <c r="AI268" s="153"/>
      <c r="AJ268" s="153"/>
      <c r="AK268" s="153"/>
      <c r="AL268" s="153"/>
      <c r="AM268" s="153"/>
      <c r="AN268" s="153"/>
      <c r="AO268" s="153"/>
      <c r="AP268" s="153"/>
      <c r="AQ268" s="153"/>
      <c r="AR268" s="153"/>
      <c r="AS268" s="153"/>
      <c r="AT268" s="153"/>
      <c r="AU268" s="153"/>
      <c r="AV268" s="153"/>
      <c r="AW268" s="153"/>
      <c r="AX268" s="153"/>
      <c r="AY268" s="153"/>
    </row>
    <row r="269" spans="15:51" x14ac:dyDescent="0.2">
      <c r="O269" s="153"/>
      <c r="P269" s="153"/>
      <c r="Q269" s="153"/>
      <c r="R269" s="153"/>
      <c r="S269" s="153"/>
      <c r="T269" s="153"/>
      <c r="U269" s="153"/>
      <c r="V269" s="153"/>
      <c r="W269" s="153"/>
      <c r="X269" s="153"/>
      <c r="Y269" s="153"/>
      <c r="Z269" s="153"/>
      <c r="AA269" s="153"/>
      <c r="AB269" s="153"/>
      <c r="AC269" s="153"/>
      <c r="AD269" s="153"/>
      <c r="AE269" s="153"/>
      <c r="AF269" s="153"/>
      <c r="AG269" s="153"/>
      <c r="AH269" s="153"/>
      <c r="AI269" s="153"/>
      <c r="AJ269" s="153"/>
      <c r="AK269" s="153"/>
      <c r="AL269" s="153"/>
      <c r="AM269" s="153"/>
      <c r="AN269" s="153"/>
      <c r="AO269" s="153"/>
      <c r="AP269" s="153"/>
      <c r="AQ269" s="153"/>
      <c r="AR269" s="153"/>
      <c r="AS269" s="153"/>
      <c r="AT269" s="153"/>
      <c r="AU269" s="153"/>
      <c r="AV269" s="153"/>
      <c r="AW269" s="153"/>
      <c r="AX269" s="153"/>
      <c r="AY269" s="153"/>
    </row>
    <row r="270" spans="15:51" x14ac:dyDescent="0.2">
      <c r="O270" s="153"/>
      <c r="P270" s="153"/>
      <c r="Q270" s="153"/>
      <c r="R270" s="153"/>
      <c r="S270" s="153"/>
      <c r="T270" s="153"/>
      <c r="U270" s="153"/>
      <c r="V270" s="153"/>
      <c r="W270" s="153"/>
      <c r="X270" s="153"/>
      <c r="Y270" s="153"/>
      <c r="Z270" s="153"/>
      <c r="AA270" s="153"/>
      <c r="AB270" s="153"/>
      <c r="AC270" s="153"/>
      <c r="AD270" s="153"/>
      <c r="AE270" s="153"/>
      <c r="AF270" s="153"/>
      <c r="AG270" s="153"/>
      <c r="AH270" s="153"/>
      <c r="AI270" s="153"/>
      <c r="AJ270" s="153"/>
      <c r="AK270" s="153"/>
      <c r="AL270" s="153"/>
      <c r="AM270" s="153"/>
      <c r="AN270" s="153"/>
      <c r="AO270" s="153"/>
      <c r="AP270" s="153"/>
      <c r="AQ270" s="153"/>
      <c r="AR270" s="153"/>
      <c r="AS270" s="153"/>
      <c r="AT270" s="153"/>
      <c r="AU270" s="153"/>
      <c r="AV270" s="153"/>
      <c r="AW270" s="153"/>
      <c r="AX270" s="153"/>
      <c r="AY270" s="153"/>
    </row>
    <row r="271" spans="15:51" x14ac:dyDescent="0.2">
      <c r="O271" s="153"/>
      <c r="P271" s="153"/>
      <c r="Q271" s="153"/>
      <c r="R271" s="153"/>
      <c r="S271" s="153"/>
      <c r="T271" s="153"/>
      <c r="U271" s="153"/>
      <c r="V271" s="153"/>
      <c r="W271" s="153"/>
      <c r="X271" s="153"/>
      <c r="Y271" s="153"/>
      <c r="Z271" s="153"/>
      <c r="AA271" s="153"/>
      <c r="AB271" s="153"/>
      <c r="AC271" s="153"/>
      <c r="AD271" s="153"/>
      <c r="AE271" s="153"/>
      <c r="AF271" s="153"/>
      <c r="AG271" s="153"/>
      <c r="AH271" s="153"/>
      <c r="AI271" s="153"/>
      <c r="AJ271" s="153"/>
      <c r="AK271" s="153"/>
      <c r="AL271" s="153"/>
      <c r="AM271" s="153"/>
      <c r="AN271" s="153"/>
      <c r="AO271" s="153"/>
      <c r="AP271" s="153"/>
      <c r="AQ271" s="153"/>
      <c r="AR271" s="153"/>
      <c r="AS271" s="153"/>
      <c r="AT271" s="153"/>
      <c r="AU271" s="153"/>
      <c r="AV271" s="153"/>
      <c r="AW271" s="153"/>
      <c r="AX271" s="153"/>
      <c r="AY271" s="153"/>
    </row>
    <row r="272" spans="15:51" x14ac:dyDescent="0.2">
      <c r="O272" s="153"/>
      <c r="P272" s="153"/>
      <c r="Q272" s="153"/>
      <c r="R272" s="153"/>
      <c r="S272" s="153"/>
      <c r="T272" s="153"/>
      <c r="U272" s="153"/>
      <c r="V272" s="153"/>
      <c r="W272" s="153"/>
      <c r="X272" s="153"/>
      <c r="Y272" s="153"/>
      <c r="Z272" s="153"/>
      <c r="AA272" s="153"/>
      <c r="AB272" s="153"/>
      <c r="AC272" s="153"/>
      <c r="AD272" s="153"/>
      <c r="AE272" s="153"/>
      <c r="AF272" s="153"/>
      <c r="AG272" s="153"/>
      <c r="AH272" s="153"/>
      <c r="AI272" s="153"/>
      <c r="AJ272" s="153"/>
      <c r="AK272" s="153"/>
      <c r="AL272" s="153"/>
      <c r="AM272" s="153"/>
      <c r="AN272" s="153"/>
      <c r="AO272" s="153"/>
      <c r="AP272" s="153"/>
      <c r="AQ272" s="153"/>
      <c r="AR272" s="153"/>
      <c r="AS272" s="153"/>
      <c r="AT272" s="153"/>
      <c r="AU272" s="153"/>
      <c r="AV272" s="153"/>
      <c r="AW272" s="153"/>
      <c r="AX272" s="153"/>
      <c r="AY272" s="153"/>
    </row>
    <row r="273" spans="15:51" x14ac:dyDescent="0.2">
      <c r="O273" s="153"/>
      <c r="P273" s="153"/>
      <c r="Q273" s="153"/>
      <c r="R273" s="153"/>
      <c r="S273" s="153"/>
      <c r="T273" s="153"/>
      <c r="U273" s="153"/>
      <c r="V273" s="153"/>
      <c r="W273" s="153"/>
      <c r="X273" s="153"/>
      <c r="Y273" s="153"/>
      <c r="Z273" s="153"/>
      <c r="AA273" s="153"/>
      <c r="AB273" s="153"/>
      <c r="AC273" s="153"/>
      <c r="AD273" s="153"/>
      <c r="AE273" s="153"/>
      <c r="AF273" s="153"/>
      <c r="AG273" s="153"/>
      <c r="AH273" s="153"/>
      <c r="AI273" s="153"/>
      <c r="AJ273" s="153"/>
      <c r="AK273" s="153"/>
      <c r="AL273" s="153"/>
      <c r="AM273" s="153"/>
      <c r="AN273" s="153"/>
      <c r="AO273" s="153"/>
      <c r="AP273" s="153"/>
      <c r="AQ273" s="153"/>
      <c r="AR273" s="153"/>
      <c r="AS273" s="153"/>
      <c r="AT273" s="153"/>
      <c r="AU273" s="153"/>
      <c r="AV273" s="153"/>
      <c r="AW273" s="153"/>
      <c r="AX273" s="153"/>
      <c r="AY273" s="153"/>
    </row>
    <row r="274" spans="15:51" x14ac:dyDescent="0.2">
      <c r="O274" s="153"/>
      <c r="P274" s="153"/>
      <c r="Q274" s="153"/>
      <c r="R274" s="153"/>
      <c r="S274" s="153"/>
      <c r="T274" s="153"/>
      <c r="U274" s="153"/>
      <c r="V274" s="153"/>
      <c r="W274" s="153"/>
      <c r="X274" s="153"/>
      <c r="Y274" s="153"/>
      <c r="Z274" s="153"/>
      <c r="AA274" s="153"/>
      <c r="AB274" s="153"/>
      <c r="AC274" s="153"/>
      <c r="AD274" s="153"/>
      <c r="AE274" s="153"/>
      <c r="AF274" s="153"/>
      <c r="AG274" s="153"/>
      <c r="AH274" s="153"/>
      <c r="AI274" s="153"/>
      <c r="AJ274" s="153"/>
      <c r="AK274" s="153"/>
      <c r="AL274" s="153"/>
      <c r="AM274" s="153"/>
      <c r="AN274" s="153"/>
      <c r="AO274" s="153"/>
      <c r="AP274" s="153"/>
      <c r="AQ274" s="153"/>
      <c r="AR274" s="153"/>
      <c r="AS274" s="153"/>
      <c r="AT274" s="153"/>
      <c r="AU274" s="153"/>
      <c r="AV274" s="153"/>
      <c r="AW274" s="153"/>
      <c r="AX274" s="153"/>
      <c r="AY274" s="153"/>
    </row>
    <row r="275" spans="15:51" x14ac:dyDescent="0.2">
      <c r="O275" s="153"/>
      <c r="P275" s="153"/>
      <c r="Q275" s="153"/>
      <c r="R275" s="153"/>
      <c r="S275" s="153"/>
      <c r="T275" s="153"/>
      <c r="U275" s="153"/>
      <c r="V275" s="153"/>
      <c r="W275" s="153"/>
      <c r="X275" s="153"/>
      <c r="Y275" s="153"/>
      <c r="Z275" s="153"/>
      <c r="AA275" s="153"/>
      <c r="AB275" s="153"/>
      <c r="AC275" s="153"/>
      <c r="AD275" s="153"/>
      <c r="AE275" s="153"/>
      <c r="AF275" s="153"/>
      <c r="AG275" s="153"/>
      <c r="AH275" s="153"/>
      <c r="AI275" s="153"/>
      <c r="AJ275" s="153"/>
      <c r="AK275" s="153"/>
      <c r="AL275" s="153"/>
      <c r="AM275" s="153"/>
      <c r="AN275" s="153"/>
      <c r="AO275" s="153"/>
      <c r="AP275" s="153"/>
      <c r="AQ275" s="153"/>
      <c r="AR275" s="153"/>
      <c r="AS275" s="153"/>
      <c r="AT275" s="153"/>
      <c r="AU275" s="153"/>
      <c r="AV275" s="153"/>
      <c r="AW275" s="153"/>
      <c r="AX275" s="153"/>
      <c r="AY275" s="153"/>
    </row>
    <row r="276" spans="15:51" x14ac:dyDescent="0.2">
      <c r="O276" s="153"/>
      <c r="P276" s="153"/>
      <c r="Q276" s="153"/>
      <c r="R276" s="153"/>
      <c r="S276" s="153"/>
      <c r="T276" s="153"/>
      <c r="U276" s="153"/>
      <c r="V276" s="153"/>
      <c r="W276" s="153"/>
      <c r="X276" s="153"/>
      <c r="Y276" s="153"/>
      <c r="Z276" s="153"/>
      <c r="AA276" s="153"/>
      <c r="AB276" s="153"/>
      <c r="AC276" s="153"/>
      <c r="AD276" s="153"/>
      <c r="AE276" s="153"/>
      <c r="AF276" s="153"/>
      <c r="AG276" s="153"/>
      <c r="AH276" s="153"/>
      <c r="AI276" s="153"/>
      <c r="AJ276" s="153"/>
      <c r="AK276" s="153"/>
      <c r="AL276" s="153"/>
      <c r="AM276" s="153"/>
      <c r="AN276" s="153"/>
      <c r="AO276" s="153"/>
      <c r="AP276" s="153"/>
      <c r="AQ276" s="153"/>
      <c r="AR276" s="153"/>
      <c r="AS276" s="153"/>
      <c r="AT276" s="153"/>
      <c r="AU276" s="153"/>
      <c r="AV276" s="153"/>
      <c r="AW276" s="153"/>
      <c r="AX276" s="153"/>
      <c r="AY276" s="153"/>
    </row>
    <row r="277" spans="15:51" x14ac:dyDescent="0.2">
      <c r="O277" s="153"/>
      <c r="P277" s="153"/>
      <c r="Q277" s="153"/>
      <c r="R277" s="153"/>
      <c r="S277" s="153"/>
      <c r="T277" s="153"/>
      <c r="U277" s="153"/>
      <c r="V277" s="153"/>
      <c r="W277" s="153"/>
      <c r="X277" s="153"/>
      <c r="Y277" s="153"/>
      <c r="Z277" s="153"/>
      <c r="AA277" s="153"/>
      <c r="AB277" s="153"/>
      <c r="AC277" s="153"/>
      <c r="AD277" s="153"/>
      <c r="AE277" s="153"/>
      <c r="AF277" s="153"/>
      <c r="AG277" s="153"/>
      <c r="AH277" s="153"/>
      <c r="AI277" s="153"/>
      <c r="AJ277" s="153"/>
      <c r="AK277" s="153"/>
      <c r="AL277" s="153"/>
      <c r="AM277" s="153"/>
      <c r="AN277" s="153"/>
      <c r="AO277" s="153"/>
      <c r="AP277" s="153"/>
      <c r="AQ277" s="153"/>
      <c r="AR277" s="153"/>
      <c r="AS277" s="153"/>
      <c r="AT277" s="153"/>
      <c r="AU277" s="153"/>
      <c r="AV277" s="153"/>
      <c r="AW277" s="153"/>
      <c r="AX277" s="153"/>
      <c r="AY277" s="153"/>
    </row>
    <row r="278" spans="15:51" x14ac:dyDescent="0.2">
      <c r="O278" s="153"/>
      <c r="P278" s="153"/>
      <c r="Q278" s="153"/>
      <c r="R278" s="153"/>
      <c r="S278" s="153"/>
      <c r="T278" s="153"/>
      <c r="U278" s="153"/>
      <c r="V278" s="153"/>
      <c r="W278" s="153"/>
      <c r="X278" s="153"/>
      <c r="Y278" s="153"/>
      <c r="Z278" s="153"/>
      <c r="AA278" s="153"/>
      <c r="AB278" s="153"/>
      <c r="AC278" s="153"/>
      <c r="AD278" s="153"/>
      <c r="AE278" s="153"/>
      <c r="AF278" s="153"/>
      <c r="AG278" s="153"/>
      <c r="AH278" s="153"/>
      <c r="AI278" s="153"/>
      <c r="AJ278" s="153"/>
      <c r="AK278" s="153"/>
      <c r="AL278" s="153"/>
      <c r="AM278" s="153"/>
      <c r="AN278" s="153"/>
      <c r="AO278" s="153"/>
      <c r="AP278" s="153"/>
      <c r="AQ278" s="153"/>
      <c r="AR278" s="153"/>
      <c r="AS278" s="153"/>
      <c r="AT278" s="153"/>
      <c r="AU278" s="153"/>
      <c r="AV278" s="153"/>
      <c r="AW278" s="153"/>
      <c r="AX278" s="153"/>
      <c r="AY278" s="153"/>
    </row>
    <row r="279" spans="15:51" x14ac:dyDescent="0.2">
      <c r="O279" s="153"/>
      <c r="P279" s="153"/>
      <c r="Q279" s="153"/>
      <c r="R279" s="153"/>
      <c r="S279" s="153"/>
      <c r="T279" s="153"/>
      <c r="U279" s="153"/>
      <c r="V279" s="153"/>
      <c r="W279" s="153"/>
      <c r="X279" s="153"/>
      <c r="Y279" s="153"/>
      <c r="Z279" s="153"/>
      <c r="AA279" s="153"/>
      <c r="AB279" s="153"/>
      <c r="AC279" s="153"/>
      <c r="AD279" s="153"/>
      <c r="AE279" s="153"/>
      <c r="AF279" s="153"/>
      <c r="AG279" s="153"/>
      <c r="AH279" s="153"/>
      <c r="AI279" s="153"/>
      <c r="AJ279" s="153"/>
      <c r="AK279" s="153"/>
      <c r="AL279" s="153"/>
      <c r="AM279" s="153"/>
      <c r="AN279" s="153"/>
      <c r="AO279" s="153"/>
      <c r="AP279" s="153"/>
      <c r="AQ279" s="153"/>
      <c r="AR279" s="153"/>
      <c r="AS279" s="153"/>
      <c r="AT279" s="153"/>
      <c r="AU279" s="153"/>
      <c r="AV279" s="153"/>
      <c r="AW279" s="153"/>
      <c r="AX279" s="153"/>
      <c r="AY279" s="153"/>
    </row>
    <row r="280" spans="15:51" x14ac:dyDescent="0.2">
      <c r="O280" s="153"/>
      <c r="P280" s="153"/>
      <c r="Q280" s="153"/>
      <c r="R280" s="153"/>
      <c r="S280" s="153"/>
      <c r="T280" s="153"/>
      <c r="U280" s="153"/>
      <c r="V280" s="153"/>
      <c r="W280" s="153"/>
      <c r="X280" s="153"/>
      <c r="Y280" s="153"/>
      <c r="Z280" s="153"/>
      <c r="AA280" s="153"/>
      <c r="AB280" s="153"/>
      <c r="AC280" s="153"/>
      <c r="AD280" s="153"/>
      <c r="AE280" s="153"/>
      <c r="AF280" s="153"/>
      <c r="AG280" s="153"/>
      <c r="AH280" s="153"/>
      <c r="AI280" s="153"/>
      <c r="AJ280" s="153"/>
      <c r="AK280" s="153"/>
      <c r="AL280" s="153"/>
      <c r="AM280" s="153"/>
      <c r="AN280" s="153"/>
      <c r="AO280" s="153"/>
      <c r="AP280" s="153"/>
      <c r="AQ280" s="153"/>
      <c r="AR280" s="153"/>
      <c r="AS280" s="153"/>
      <c r="AT280" s="153"/>
      <c r="AU280" s="153"/>
      <c r="AV280" s="153"/>
      <c r="AW280" s="153"/>
      <c r="AX280" s="153"/>
      <c r="AY280" s="153"/>
    </row>
    <row r="281" spans="15:51" x14ac:dyDescent="0.2">
      <c r="O281" s="153"/>
      <c r="P281" s="153"/>
      <c r="Q281" s="153"/>
      <c r="R281" s="153"/>
      <c r="S281" s="153"/>
      <c r="T281" s="153"/>
      <c r="U281" s="153"/>
      <c r="V281" s="153"/>
      <c r="W281" s="153"/>
      <c r="X281" s="153"/>
      <c r="Y281" s="153"/>
      <c r="Z281" s="153"/>
      <c r="AA281" s="153"/>
      <c r="AB281" s="153"/>
      <c r="AC281" s="153"/>
      <c r="AD281" s="153"/>
      <c r="AE281" s="153"/>
      <c r="AF281" s="153"/>
      <c r="AG281" s="153"/>
      <c r="AH281" s="153"/>
      <c r="AI281" s="153"/>
      <c r="AJ281" s="153"/>
      <c r="AK281" s="153"/>
      <c r="AL281" s="153"/>
      <c r="AM281" s="153"/>
      <c r="AN281" s="153"/>
      <c r="AO281" s="153"/>
      <c r="AP281" s="153"/>
      <c r="AQ281" s="153"/>
      <c r="AR281" s="153"/>
      <c r="AS281" s="153"/>
      <c r="AT281" s="153"/>
      <c r="AU281" s="153"/>
      <c r="AV281" s="153"/>
      <c r="AW281" s="153"/>
      <c r="AX281" s="153"/>
      <c r="AY281" s="153"/>
    </row>
    <row r="282" spans="15:51" x14ac:dyDescent="0.2">
      <c r="O282" s="153"/>
      <c r="P282" s="153"/>
      <c r="Q282" s="153"/>
      <c r="R282" s="153"/>
      <c r="S282" s="153"/>
      <c r="T282" s="153"/>
      <c r="U282" s="153"/>
      <c r="V282" s="153"/>
      <c r="W282" s="153"/>
      <c r="X282" s="153"/>
      <c r="Y282" s="153"/>
      <c r="Z282" s="153"/>
      <c r="AA282" s="153"/>
      <c r="AB282" s="153"/>
      <c r="AC282" s="153"/>
      <c r="AD282" s="153"/>
      <c r="AE282" s="153"/>
      <c r="AF282" s="153"/>
      <c r="AG282" s="153"/>
      <c r="AH282" s="153"/>
      <c r="AI282" s="153"/>
      <c r="AJ282" s="153"/>
      <c r="AK282" s="153"/>
      <c r="AL282" s="153"/>
      <c r="AM282" s="153"/>
      <c r="AN282" s="153"/>
      <c r="AO282" s="153"/>
      <c r="AP282" s="153"/>
      <c r="AQ282" s="153"/>
      <c r="AR282" s="153"/>
      <c r="AS282" s="153"/>
      <c r="AT282" s="153"/>
      <c r="AU282" s="153"/>
      <c r="AV282" s="153"/>
      <c r="AW282" s="153"/>
      <c r="AX282" s="153"/>
      <c r="AY282" s="153"/>
    </row>
    <row r="283" spans="15:51" x14ac:dyDescent="0.2">
      <c r="O283" s="153"/>
      <c r="P283" s="153"/>
      <c r="Q283" s="153"/>
      <c r="R283" s="153"/>
      <c r="S283" s="153"/>
      <c r="T283" s="153"/>
      <c r="U283" s="153"/>
      <c r="V283" s="153"/>
      <c r="W283" s="153"/>
      <c r="X283" s="153"/>
      <c r="Y283" s="153"/>
      <c r="Z283" s="153"/>
      <c r="AA283" s="153"/>
      <c r="AB283" s="153"/>
      <c r="AC283" s="153"/>
      <c r="AD283" s="153"/>
      <c r="AE283" s="153"/>
      <c r="AF283" s="153"/>
      <c r="AG283" s="153"/>
      <c r="AH283" s="153"/>
      <c r="AI283" s="153"/>
      <c r="AJ283" s="153"/>
      <c r="AK283" s="153"/>
      <c r="AL283" s="153"/>
      <c r="AM283" s="153"/>
      <c r="AN283" s="153"/>
      <c r="AO283" s="153"/>
      <c r="AP283" s="153"/>
      <c r="AQ283" s="153"/>
      <c r="AR283" s="153"/>
      <c r="AS283" s="153"/>
      <c r="AT283" s="153"/>
      <c r="AU283" s="153"/>
      <c r="AV283" s="153"/>
      <c r="AW283" s="153"/>
      <c r="AX283" s="153"/>
      <c r="AY283" s="153"/>
    </row>
    <row r="284" spans="15:51" x14ac:dyDescent="0.2">
      <c r="O284" s="153"/>
      <c r="P284" s="153"/>
      <c r="Q284" s="153"/>
      <c r="R284" s="153"/>
      <c r="S284" s="153"/>
      <c r="T284" s="153"/>
      <c r="U284" s="153"/>
      <c r="V284" s="153"/>
      <c r="W284" s="153"/>
      <c r="X284" s="153"/>
      <c r="Y284" s="153"/>
      <c r="Z284" s="153"/>
      <c r="AA284" s="153"/>
      <c r="AB284" s="153"/>
      <c r="AC284" s="153"/>
      <c r="AD284" s="153"/>
      <c r="AE284" s="153"/>
      <c r="AF284" s="153"/>
      <c r="AG284" s="153"/>
      <c r="AH284" s="153"/>
      <c r="AI284" s="153"/>
      <c r="AJ284" s="153"/>
      <c r="AK284" s="153"/>
      <c r="AL284" s="153"/>
      <c r="AM284" s="153"/>
      <c r="AN284" s="153"/>
      <c r="AO284" s="153"/>
      <c r="AP284" s="153"/>
      <c r="AQ284" s="153"/>
      <c r="AR284" s="153"/>
      <c r="AS284" s="153"/>
      <c r="AT284" s="153"/>
      <c r="AU284" s="153"/>
      <c r="AV284" s="153"/>
      <c r="AW284" s="153"/>
      <c r="AX284" s="153"/>
      <c r="AY284" s="153"/>
    </row>
    <row r="285" spans="15:51" x14ac:dyDescent="0.2">
      <c r="O285" s="153"/>
      <c r="P285" s="153"/>
      <c r="Q285" s="153"/>
      <c r="R285" s="153"/>
      <c r="S285" s="153"/>
      <c r="T285" s="153"/>
      <c r="U285" s="153"/>
      <c r="V285" s="153"/>
      <c r="W285" s="153"/>
      <c r="X285" s="153"/>
      <c r="Y285" s="153"/>
      <c r="Z285" s="153"/>
      <c r="AA285" s="153"/>
      <c r="AB285" s="153"/>
      <c r="AC285" s="153"/>
      <c r="AD285" s="153"/>
      <c r="AE285" s="153"/>
      <c r="AF285" s="153"/>
      <c r="AG285" s="153"/>
      <c r="AH285" s="153"/>
      <c r="AI285" s="153"/>
      <c r="AJ285" s="153"/>
      <c r="AK285" s="153"/>
      <c r="AL285" s="153"/>
      <c r="AM285" s="153"/>
      <c r="AN285" s="153"/>
      <c r="AO285" s="153"/>
      <c r="AP285" s="153"/>
      <c r="AQ285" s="153"/>
      <c r="AR285" s="153"/>
      <c r="AS285" s="153"/>
      <c r="AT285" s="153"/>
      <c r="AU285" s="153"/>
      <c r="AV285" s="153"/>
      <c r="AW285" s="153"/>
      <c r="AX285" s="153"/>
      <c r="AY285" s="153"/>
    </row>
    <row r="286" spans="15:51" x14ac:dyDescent="0.2">
      <c r="O286" s="153"/>
      <c r="P286" s="153"/>
      <c r="Q286" s="153"/>
      <c r="R286" s="153"/>
      <c r="S286" s="153"/>
      <c r="T286" s="153"/>
      <c r="U286" s="153"/>
      <c r="V286" s="153"/>
      <c r="W286" s="153"/>
      <c r="X286" s="153"/>
      <c r="Y286" s="153"/>
      <c r="Z286" s="153"/>
      <c r="AA286" s="153"/>
      <c r="AB286" s="153"/>
      <c r="AC286" s="153"/>
      <c r="AD286" s="153"/>
      <c r="AE286" s="153"/>
      <c r="AF286" s="153"/>
      <c r="AG286" s="153"/>
      <c r="AH286" s="153"/>
      <c r="AI286" s="153"/>
      <c r="AJ286" s="153"/>
      <c r="AK286" s="153"/>
      <c r="AL286" s="153"/>
      <c r="AM286" s="153"/>
      <c r="AN286" s="153"/>
      <c r="AO286" s="153"/>
      <c r="AP286" s="153"/>
      <c r="AQ286" s="153"/>
      <c r="AR286" s="153"/>
      <c r="AS286" s="153"/>
      <c r="AT286" s="153"/>
      <c r="AU286" s="153"/>
      <c r="AV286" s="153"/>
      <c r="AW286" s="153"/>
      <c r="AX286" s="153"/>
      <c r="AY286" s="153"/>
    </row>
    <row r="287" spans="15:51" x14ac:dyDescent="0.2">
      <c r="O287" s="153"/>
      <c r="P287" s="153"/>
      <c r="Q287" s="153"/>
      <c r="R287" s="153"/>
      <c r="S287" s="153"/>
      <c r="T287" s="153"/>
      <c r="U287" s="153"/>
      <c r="V287" s="153"/>
      <c r="W287" s="153"/>
      <c r="X287" s="153"/>
      <c r="Y287" s="153"/>
      <c r="Z287" s="153"/>
      <c r="AA287" s="153"/>
      <c r="AB287" s="153"/>
      <c r="AC287" s="153"/>
      <c r="AD287" s="153"/>
      <c r="AE287" s="153"/>
      <c r="AF287" s="153"/>
      <c r="AG287" s="153"/>
      <c r="AH287" s="153"/>
      <c r="AI287" s="153"/>
      <c r="AJ287" s="153"/>
      <c r="AK287" s="153"/>
      <c r="AL287" s="153"/>
      <c r="AM287" s="153"/>
      <c r="AN287" s="153"/>
      <c r="AO287" s="153"/>
      <c r="AP287" s="153"/>
      <c r="AQ287" s="153"/>
      <c r="AR287" s="153"/>
      <c r="AS287" s="153"/>
      <c r="AT287" s="153"/>
      <c r="AU287" s="153"/>
      <c r="AV287" s="153"/>
      <c r="AW287" s="153"/>
      <c r="AX287" s="153"/>
      <c r="AY287" s="153"/>
    </row>
    <row r="288" spans="15:51" x14ac:dyDescent="0.2">
      <c r="O288" s="153"/>
      <c r="P288" s="153"/>
      <c r="Q288" s="153"/>
      <c r="R288" s="153"/>
      <c r="S288" s="153"/>
      <c r="T288" s="153"/>
      <c r="U288" s="153"/>
      <c r="V288" s="153"/>
      <c r="W288" s="153"/>
      <c r="X288" s="153"/>
      <c r="Y288" s="153"/>
      <c r="Z288" s="153"/>
      <c r="AA288" s="153"/>
      <c r="AB288" s="153"/>
      <c r="AC288" s="153"/>
      <c r="AD288" s="153"/>
      <c r="AE288" s="153"/>
      <c r="AF288" s="153"/>
      <c r="AG288" s="153"/>
      <c r="AH288" s="153"/>
      <c r="AI288" s="153"/>
      <c r="AJ288" s="153"/>
      <c r="AK288" s="153"/>
      <c r="AL288" s="153"/>
      <c r="AM288" s="153"/>
      <c r="AN288" s="153"/>
      <c r="AO288" s="153"/>
      <c r="AP288" s="153"/>
      <c r="AQ288" s="153"/>
      <c r="AR288" s="153"/>
      <c r="AS288" s="153"/>
      <c r="AT288" s="153"/>
      <c r="AU288" s="153"/>
      <c r="AV288" s="153"/>
      <c r="AW288" s="153"/>
      <c r="AX288" s="153"/>
      <c r="AY288" s="153"/>
    </row>
  </sheetData>
  <sheetProtection selectLockedCells="1"/>
  <protectedRanges>
    <protectedRange sqref="F59:I68 E59:E65 E67:E68" name="Kommentar"/>
    <protectedRange sqref="H90:L95" name="Kommentar_1"/>
    <protectedRange sqref="H110:L115" name="Kommentar_2"/>
    <protectedRange sqref="H130:L135" name="Kommentar_3"/>
    <protectedRange sqref="H150:L155" name="Kommentar_4"/>
    <protectedRange sqref="H170:L175" name="Kommentar_5"/>
  </protectedRanges>
  <dataConsolidate/>
  <mergeCells count="149">
    <mergeCell ref="B169:E186"/>
    <mergeCell ref="G169:N169"/>
    <mergeCell ref="G170:N186"/>
    <mergeCell ref="K193:M194"/>
    <mergeCell ref="K196:M205"/>
    <mergeCell ref="B197:C198"/>
    <mergeCell ref="D197:G198"/>
    <mergeCell ref="B200:C209"/>
    <mergeCell ref="D200:G209"/>
    <mergeCell ref="B129:E146"/>
    <mergeCell ref="G129:N129"/>
    <mergeCell ref="G130:N146"/>
    <mergeCell ref="B149:E166"/>
    <mergeCell ref="G149:N149"/>
    <mergeCell ref="G150:N166"/>
    <mergeCell ref="C87:H87"/>
    <mergeCell ref="J87:N87"/>
    <mergeCell ref="B89:E106"/>
    <mergeCell ref="G89:N89"/>
    <mergeCell ref="G90:N106"/>
    <mergeCell ref="B109:E126"/>
    <mergeCell ref="G109:N109"/>
    <mergeCell ref="G110:N126"/>
    <mergeCell ref="C85:H85"/>
    <mergeCell ref="J85:N85"/>
    <mergeCell ref="C86:E86"/>
    <mergeCell ref="J86:N86"/>
    <mergeCell ref="K65:K67"/>
    <mergeCell ref="L65:N67"/>
    <mergeCell ref="L68:N68"/>
    <mergeCell ref="B70:N71"/>
    <mergeCell ref="B77:F79"/>
    <mergeCell ref="B81:N82"/>
    <mergeCell ref="E59:I68"/>
    <mergeCell ref="J59:J63"/>
    <mergeCell ref="K59:N59"/>
    <mergeCell ref="K60:K62"/>
    <mergeCell ref="L60:N62"/>
    <mergeCell ref="L63:N63"/>
    <mergeCell ref="J64:J68"/>
    <mergeCell ref="K64:N64"/>
    <mergeCell ref="C84:H84"/>
    <mergeCell ref="J84:N84"/>
    <mergeCell ref="J56:K56"/>
    <mergeCell ref="M56:N56"/>
    <mergeCell ref="M53:N53"/>
    <mergeCell ref="B54:C54"/>
    <mergeCell ref="E54:F54"/>
    <mergeCell ref="G54:H54"/>
    <mergeCell ref="J54:K54"/>
    <mergeCell ref="M54:N54"/>
    <mergeCell ref="E58:I58"/>
    <mergeCell ref="J58:N58"/>
    <mergeCell ref="B51:N51"/>
    <mergeCell ref="T51:X54"/>
    <mergeCell ref="E52:F52"/>
    <mergeCell ref="G52:H52"/>
    <mergeCell ref="I52:I55"/>
    <mergeCell ref="J52:N52"/>
    <mergeCell ref="B53:C53"/>
    <mergeCell ref="E53:F53"/>
    <mergeCell ref="G53:H53"/>
    <mergeCell ref="J53:K53"/>
    <mergeCell ref="B55:C55"/>
    <mergeCell ref="E55:F55"/>
    <mergeCell ref="G55:H55"/>
    <mergeCell ref="J55:K55"/>
    <mergeCell ref="M55:N55"/>
    <mergeCell ref="T46:X49"/>
    <mergeCell ref="D47:E49"/>
    <mergeCell ref="F47:H47"/>
    <mergeCell ref="J47:K47"/>
    <mergeCell ref="F48:H48"/>
    <mergeCell ref="J48:K48"/>
    <mergeCell ref="F49:H49"/>
    <mergeCell ref="J49:K49"/>
    <mergeCell ref="I42:J42"/>
    <mergeCell ref="I43:J43"/>
    <mergeCell ref="I44:J44"/>
    <mergeCell ref="I45:J45"/>
    <mergeCell ref="B46:C46"/>
    <mergeCell ref="D46:I46"/>
    <mergeCell ref="J46:N46"/>
    <mergeCell ref="I36:J36"/>
    <mergeCell ref="I37:J37"/>
    <mergeCell ref="I38:J38"/>
    <mergeCell ref="I39:J39"/>
    <mergeCell ref="I40:J40"/>
    <mergeCell ref="I41:J41"/>
    <mergeCell ref="B34:B35"/>
    <mergeCell ref="D34:D35"/>
    <mergeCell ref="E34:E35"/>
    <mergeCell ref="F34:H34"/>
    <mergeCell ref="I34:J35"/>
    <mergeCell ref="K34:K35"/>
    <mergeCell ref="B32:B33"/>
    <mergeCell ref="C32:D32"/>
    <mergeCell ref="K32:L32"/>
    <mergeCell ref="M32:N32"/>
    <mergeCell ref="C33:D33"/>
    <mergeCell ref="K33:L33"/>
    <mergeCell ref="M33:N33"/>
    <mergeCell ref="B27:B28"/>
    <mergeCell ref="C27:D28"/>
    <mergeCell ref="E27:E28"/>
    <mergeCell ref="F27:H28"/>
    <mergeCell ref="I27:I30"/>
    <mergeCell ref="B29:B30"/>
    <mergeCell ref="C29:D30"/>
    <mergeCell ref="E29:E30"/>
    <mergeCell ref="F29:H30"/>
    <mergeCell ref="C24:H24"/>
    <mergeCell ref="L24:M24"/>
    <mergeCell ref="C25:H25"/>
    <mergeCell ref="J25:K25"/>
    <mergeCell ref="L25:M25"/>
    <mergeCell ref="C26:H26"/>
    <mergeCell ref="K26:N26"/>
    <mergeCell ref="C20:H20"/>
    <mergeCell ref="J20:N20"/>
    <mergeCell ref="C22:H22"/>
    <mergeCell ref="J22:N22"/>
    <mergeCell ref="C23:H23"/>
    <mergeCell ref="J23:N23"/>
    <mergeCell ref="C17:H17"/>
    <mergeCell ref="J17:N17"/>
    <mergeCell ref="C18:H18"/>
    <mergeCell ref="J18:N18"/>
    <mergeCell ref="C19:H19"/>
    <mergeCell ref="J19:N19"/>
    <mergeCell ref="C14:H14"/>
    <mergeCell ref="J14:N14"/>
    <mergeCell ref="C15:H15"/>
    <mergeCell ref="J15:N15"/>
    <mergeCell ref="C16:H16"/>
    <mergeCell ref="J16:N16"/>
    <mergeCell ref="C11:H11"/>
    <mergeCell ref="J11:N11"/>
    <mergeCell ref="C12:H12"/>
    <mergeCell ref="J12:N12"/>
    <mergeCell ref="C13:H13"/>
    <mergeCell ref="J13:N13"/>
    <mergeCell ref="K5:K6"/>
    <mergeCell ref="L5:N7"/>
    <mergeCell ref="B6:E7"/>
    <mergeCell ref="F6:H7"/>
    <mergeCell ref="B8:N9"/>
    <mergeCell ref="B10:H10"/>
    <mergeCell ref="I10:N10"/>
  </mergeCells>
  <dataValidations disablePrompts="1" count="6">
    <dataValidation type="list" allowBlank="1" showInputMessage="1" showErrorMessage="1" sqref="B6:E7">
      <formula1>$Z$9:$Z$17</formula1>
    </dataValidation>
    <dataValidation type="list" allowBlank="1" showInputMessage="1" showErrorMessage="1" sqref="C27:D28">
      <formula1>$U$10:$U$14</formula1>
    </dataValidation>
    <dataValidation type="list" allowBlank="1" showInputMessage="1" showErrorMessage="1" sqref="E32:E33">
      <formula1>$V$2:$V$4</formula1>
    </dataValidation>
    <dataValidation type="list" allowBlank="1" showInputMessage="1" showErrorMessage="1" sqref="C35 L35 K24">
      <formula1>$U$2:$U$4</formula1>
    </dataValidation>
    <dataValidation type="list" allowBlank="1" showInputMessage="1" showErrorMessage="1" sqref="N34">
      <formula1>$T$9:$T$16</formula1>
    </dataValidation>
    <dataValidation type="list" allowBlank="1" showInputMessage="1" showErrorMessage="1" sqref="K5:K6">
      <formula1>$T$3:$T$8</formula1>
    </dataValidation>
  </dataValidations>
  <printOptions horizontalCentered="1"/>
  <pageMargins left="0" right="0" top="0.15748031496062992" bottom="0.27559055118110237" header="3.937007874015748E-2" footer="7.874015748031496E-2"/>
  <pageSetup paperSize="9" scale="54" orientation="portrait" r:id="rId1"/>
  <headerFooter alignWithMargins="0">
    <oddFooter>&amp;L&amp;8CF-00169, Version: 1.0&amp;C&amp;8Creation/Ersteller: ESC/Andrea Grunwald
Date/Datum: 2016 - 11 - 24&amp;R&amp;8Page:/Seite: &amp;P/&amp;N</oddFooter>
  </headerFooter>
  <rowBreaks count="1" manualBreakCount="1">
    <brk id="75" max="13" man="1"/>
  </rowBreaks>
  <colBreaks count="1" manualBreakCount="1">
    <brk id="15" max="98" man="1"/>
  </colBreaks>
  <ignoredErrors>
    <ignoredError sqref="U31:Y36" evalError="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10"/>
  </sheetPr>
  <dimension ref="B2:AD32"/>
  <sheetViews>
    <sheetView zoomScale="85" zoomScaleNormal="100" zoomScaleSheetLayoutView="75" workbookViewId="0">
      <selection activeCell="C18" sqref="C18:F18"/>
    </sheetView>
  </sheetViews>
  <sheetFormatPr baseColWidth="10" defaultRowHeight="12.75" x14ac:dyDescent="0.2"/>
  <cols>
    <col min="1" max="1" width="2.7109375" style="8" customWidth="1"/>
    <col min="2" max="2" width="8.28515625" style="8" customWidth="1"/>
    <col min="3" max="3" width="10.5703125" style="8" customWidth="1"/>
    <col min="4" max="4" width="12.28515625" style="8" customWidth="1"/>
    <col min="5" max="5" width="14.42578125" style="8" customWidth="1"/>
    <col min="6" max="6" width="7.42578125" style="8" customWidth="1"/>
    <col min="7" max="8" width="6.7109375" style="8" customWidth="1"/>
    <col min="9" max="9" width="7.42578125" style="8" customWidth="1"/>
    <col min="10" max="11" width="11.42578125" style="8"/>
    <col min="12" max="12" width="13.140625" style="8" customWidth="1"/>
    <col min="13" max="13" width="11.42578125" style="8"/>
    <col min="14" max="14" width="11.85546875" style="8" customWidth="1"/>
    <col min="15" max="15" width="7.28515625" style="8" customWidth="1"/>
    <col min="16" max="16" width="13.85546875" style="8" customWidth="1"/>
    <col min="17" max="29" width="11.85546875" style="8" customWidth="1"/>
    <col min="30" max="16384" width="11.42578125" style="8"/>
  </cols>
  <sheetData>
    <row r="2" spans="2:30" x14ac:dyDescent="0.2">
      <c r="O2" s="9"/>
    </row>
    <row r="3" spans="2:30" ht="15" x14ac:dyDescent="0.25">
      <c r="B3" s="49" t="s">
        <v>46</v>
      </c>
    </row>
    <row r="5" spans="2:30" x14ac:dyDescent="0.2">
      <c r="L5" s="39" t="str">
        <f>'CF-00169_Ver. 1.0'!K5:K5</f>
        <v>English</v>
      </c>
    </row>
    <row r="6" spans="2:30" ht="18.75" customHeight="1" x14ac:dyDescent="0.2">
      <c r="B6" s="612" t="str">
        <f>IF($L$5="Deutsch","Wichtig: Nur Lieferanten/Kundendaten und farbenen Felder ausfüllen!",IF($L$5="English","Important: Fill out Supplier / Customer data and coloured fields only!",IF($L$5="Français","Important: Veuillez ne remplir que les données fournisseur/client et les champs en couleur",IF($L$5="Portugues","Importante: Preencha os dados do Fornecedor / cliente apenas nos campos coloridos!",IF($L$5="中文","Important: Fill out Supplier / Customer data and coloured fields only!")))))</f>
        <v>Important: Fill out Supplier / Customer data and coloured fields only!</v>
      </c>
      <c r="C6" s="613"/>
      <c r="D6" s="613"/>
      <c r="E6" s="613"/>
      <c r="F6" s="613"/>
      <c r="G6" s="613"/>
      <c r="H6" s="613"/>
      <c r="I6" s="613"/>
      <c r="J6" s="613"/>
      <c r="K6" s="613"/>
      <c r="L6" s="613"/>
      <c r="M6" s="613"/>
      <c r="N6" s="613"/>
      <c r="O6" s="613"/>
    </row>
    <row r="7" spans="2:30" ht="18" customHeight="1" x14ac:dyDescent="0.2">
      <c r="B7" s="614" t="str">
        <f>IF($L$5="Deutsch","Bitte wählen Sie die höchste Resolution für die Photos aus",IF($L$5="English","Please observe the maximum resolution of the pictures you insert.",IF($L$5="Français","Veuillez choisir la résolution la plus élevée pour les photos",IF($L$5="Portugues","Por favor, respeite a resolução máxima das imagens que você inserir.",IF($L$5="中文","Please observe the maximum resolution of the pictures you insert.")))))</f>
        <v>Please observe the maximum resolution of the pictures you insert.</v>
      </c>
      <c r="C7" s="613"/>
      <c r="D7" s="613"/>
      <c r="E7" s="613"/>
      <c r="F7" s="613"/>
      <c r="G7" s="613"/>
      <c r="H7" s="613"/>
      <c r="I7" s="613"/>
      <c r="J7" s="613"/>
      <c r="K7" s="613"/>
      <c r="L7" s="613"/>
      <c r="M7" s="613"/>
      <c r="N7" s="613"/>
      <c r="O7" s="613"/>
    </row>
    <row r="8" spans="2:30" ht="18" customHeight="1" x14ac:dyDescent="0.2">
      <c r="B8" s="614" t="str">
        <f>IF($L$5="Deutsch","Informationen über Verpackungen und dazugehörige Aktivitäten finden Sie in dem Logistiklastenheft der ThyssenKrupp Presta Camshafts, welche Sie auf dem Supplier Portal auf unserer Homepage finden.",IF($L$5="English","Details on  packaging you can find them in the Logistics Specification, which is located on the Supplier Portal on our website.",IF($L$5="Français","Vous pouvez trouver des informations sur les emballages et les activités liées dans le cahier des charges logistique de ThyssenKrupp Presta Camshafts, que vous trouverez sur le portail fournisseur de notre page Web.",IF($L$5="Portugues","Detalhes sobre a embalagem que você pode encontrar na Especificação de Logística,localizado no Portal do Fornecedor em nosso site.",IF($L$5="中文","Details on  packaging you can find them in the Logistics Specification, which is located on the Supplier Portal on our website.")))))</f>
        <v>Details on  packaging you can find them in the Logistics Specification, which is located on the Supplier Portal on our website.</v>
      </c>
      <c r="C8" s="613"/>
      <c r="D8" s="613"/>
      <c r="E8" s="613"/>
      <c r="F8" s="613"/>
      <c r="G8" s="613"/>
      <c r="H8" s="613"/>
      <c r="I8" s="613"/>
      <c r="J8" s="613"/>
      <c r="K8" s="613"/>
      <c r="L8" s="613"/>
      <c r="M8" s="613"/>
      <c r="N8" s="613"/>
      <c r="O8" s="613"/>
    </row>
    <row r="9" spans="2:30" ht="13.5" customHeight="1" x14ac:dyDescent="0.2">
      <c r="B9" s="613"/>
      <c r="C9" s="613"/>
      <c r="D9" s="613"/>
      <c r="E9" s="613"/>
      <c r="F9" s="613"/>
      <c r="G9" s="613"/>
      <c r="H9" s="613"/>
      <c r="I9" s="613"/>
      <c r="J9" s="613"/>
      <c r="K9" s="613"/>
      <c r="L9" s="613"/>
      <c r="M9" s="613"/>
      <c r="N9" s="613"/>
      <c r="O9" s="613"/>
    </row>
    <row r="10" spans="2:30" ht="33.75" customHeight="1" x14ac:dyDescent="0.2">
      <c r="B10" s="615" t="str">
        <f>IF($L$5="Deutsch","Bei Fragen zum Ausfüllen des Verpackungsdatenblatts, wenden Sie ich bitte an die Kontaktperson hier hinterlegt im Verpackungsdatenblatt",IF($L$5="English","If you have any questions in completing the details in the Packaging Data Sheet do not hesitate to contact the person mentioned in this Packaging Data Sheet..",IF($L$5="Français","Pour toutes questions concernant cette fiche de données d'emballage, veuillez contacter l'interlocuteur indiqué sur cette fiche.",IF($L$5="Portugues","Se você tem alguma dúvida em completar os detalhes na Folha de Dados da embalagem, não hesite em contactar a pessoa mencionada na presente Ficha de Dados da embalagem.",IF($L$5="中文","If you have any questions in completing the details in the Packaging Data Sheet do not hesitate to contact the person mentioned in this Packaging Data Sheet.")))))</f>
        <v>If you have any questions in completing the details in the Packaging Data Sheet do not hesitate to contact the person mentioned in this Packaging Data Sheet..</v>
      </c>
      <c r="C10" s="613"/>
      <c r="D10" s="613"/>
      <c r="E10" s="613"/>
      <c r="F10" s="613"/>
      <c r="G10" s="613"/>
      <c r="H10" s="613"/>
      <c r="I10" s="613"/>
      <c r="J10" s="613"/>
      <c r="K10" s="613"/>
      <c r="L10" s="613"/>
      <c r="M10" s="613"/>
      <c r="N10" s="613"/>
      <c r="O10" s="613"/>
    </row>
    <row r="11" spans="2:30" ht="13.5" customHeight="1" x14ac:dyDescent="0.2">
      <c r="B11" s="36"/>
      <c r="C11" s="30"/>
      <c r="D11" s="30"/>
      <c r="E11" s="30"/>
      <c r="F11" s="30"/>
      <c r="G11" s="30"/>
      <c r="H11" s="30"/>
      <c r="I11" s="30"/>
      <c r="J11" s="30"/>
      <c r="K11" s="30"/>
      <c r="L11" s="30"/>
      <c r="M11" s="30"/>
    </row>
    <row r="12" spans="2:30" ht="41.25" customHeight="1" x14ac:dyDescent="0.2">
      <c r="B12" s="609" t="str">
        <f>IF($L$5="Deutsch","Anmerkungen Verpackungsdatenblatt",IF($L$5="English","Remarks Packaging Data Sheet",IF($L$5="Français","Remarque Fiche de données d'emballage",IF($L$5="Portugues","Observações para Intrução de Embalagem",IF($L$5="中文","Remarks Packaging Data Sheet")))))</f>
        <v>Remarks Packaging Data Sheet</v>
      </c>
      <c r="C12" s="610"/>
      <c r="D12" s="610"/>
      <c r="E12" s="610"/>
      <c r="F12" s="610"/>
      <c r="G12" s="610"/>
      <c r="H12" s="610"/>
      <c r="I12" s="610"/>
      <c r="J12" s="610"/>
      <c r="K12" s="610"/>
      <c r="L12" s="610"/>
      <c r="M12" s="610"/>
      <c r="N12" s="610"/>
      <c r="O12" s="611"/>
    </row>
    <row r="13" spans="2:30" s="36" customFormat="1" ht="30" customHeight="1" x14ac:dyDescent="0.2">
      <c r="B13" s="40">
        <v>1</v>
      </c>
      <c r="C13" s="606" t="str">
        <f>IF($L$5="Deutsch","Befüllungsart:",IF($L$5="English","Method of filling:",IF($L$5="Français","Remplissage de l'emballage:",IF($L$5="Portugues","Tipo de enchimento da embalagem:",IF($L$5="中文","包装方式：")))))</f>
        <v>Method of filling:</v>
      </c>
      <c r="D13" s="607"/>
      <c r="E13" s="607"/>
      <c r="F13" s="608"/>
      <c r="G13" s="627" t="str">
        <f>IF($L$5="Deutsch","Spezifizierung, ob die Komponenten manuell oder automatisch in die Verpackungseinheit befüllt werden",IF($L$5="English","Specify if the components will be filled in the packaging manually or automatically",IF($L$5="Français","Indication si les composants sont placés automatiquement ou manuellement dans l'emballage.",IF($L$5="Portugues","Especifique se os componentes serão preenchidos na embalagem, manual ou automaticamente",IF($L$5="中文","Specify if the components will be filled in the packaging manually or automatically")))))</f>
        <v>Specify if the components will be filled in the packaging manually or automatically</v>
      </c>
      <c r="H13" s="627"/>
      <c r="I13" s="627"/>
      <c r="J13" s="627"/>
      <c r="K13" s="627"/>
      <c r="L13" s="627"/>
      <c r="M13" s="627"/>
      <c r="N13" s="627"/>
      <c r="O13" s="627"/>
      <c r="P13" s="37"/>
    </row>
    <row r="14" spans="2:30" s="36" customFormat="1" ht="32.25" customHeight="1" x14ac:dyDescent="0.2">
      <c r="B14" s="40">
        <f>B13+1</f>
        <v>2</v>
      </c>
      <c r="C14" s="605" t="str">
        <f>IF($L$5="Deutsch","Stapelfaktor (befüllt):",IF($L$5="English","Stacking factor (filled):",IF($L$5="Français","Coeff. d'empilage (rempli):",IF($L$5="Portugues","No. Caixas empilhadas (completas):",IF($L$5="中文","包装可堆垛层数：")))))</f>
        <v>Stacking factor (filled):</v>
      </c>
      <c r="D14" s="605"/>
      <c r="E14" s="605"/>
      <c r="F14" s="605"/>
      <c r="G14" s="605" t="str">
        <f>IF($L$5="Deutsch","Definiert die Anzahl von Verpackungseinheiten die übereinander gestapelt werden können. z.B. nicht stapelbar, 1-fach, 2-fach",IF($L$5="English","The number of times one Handling Unit (HU) can be stacked on top of each other. For example not stackable, 1-time, 2-times,... ",IF($L$5="Français","Défini la quantité d'emballage (unité de manutention) qui peuvent être empilés les uns sur les autres ",IF($L$5="Portugues","O número de vezes que uma Caixa  (HU) podem ser empilhadas em cima de outras. Por exemplo, não empilhável, 1-vez, 2-vezes, ...",IF($L$5="中文","The number of times one Handling Unit (HU) can be stacked on top of each other. For example not stackable, 1-time, 2-times,...")))))</f>
        <v xml:space="preserve">The number of times one Handling Unit (HU) can be stacked on top of each other. For example not stackable, 1-time, 2-times,... </v>
      </c>
      <c r="H14" s="605"/>
      <c r="I14" s="605"/>
      <c r="J14" s="605"/>
      <c r="K14" s="605"/>
      <c r="L14" s="605"/>
      <c r="M14" s="605"/>
      <c r="N14" s="605"/>
      <c r="O14" s="605"/>
    </row>
    <row r="15" spans="2:30" s="22" customFormat="1" ht="29.25" customHeight="1" x14ac:dyDescent="0.2">
      <c r="B15" s="40">
        <f t="shared" ref="B15:B31" si="0">B14+1</f>
        <v>3</v>
      </c>
      <c r="C15" s="605" t="str">
        <f>IF($L$5="Deutsch","Status VDB",IF($L$5="English","Status of PDS:",IF($L$5="Français","Statut FDD:",IF($L$5="Portugues","Estatus da FIE:",IF($L$5="中文","包装数据表格状态：")))))</f>
        <v>Status of PDS:</v>
      </c>
      <c r="D15" s="605"/>
      <c r="E15" s="605"/>
      <c r="F15" s="605"/>
      <c r="G15" s="605" t="str">
        <f>IF($L$5="Deutsch","Gibt den Status des VDB's an, d.h. ob es ein Entwurf oder eine Vorlage ist",IF($L$5="English","States if the PDS is a draft or released version",IF($L$5="Français","Défini si la FDD est à un status ''en cours'' ou validée ",IF($L$5="Portugues","Situacao se o PDS e um rascunho ou versao final",IF($L$5="中文","States if the PDS is a draft or released version")))))</f>
        <v>States if the PDS is a draft or released version</v>
      </c>
      <c r="H15" s="605"/>
      <c r="I15" s="605"/>
      <c r="J15" s="605"/>
      <c r="K15" s="605"/>
      <c r="L15" s="605"/>
      <c r="M15" s="605"/>
      <c r="N15" s="605"/>
      <c r="O15" s="605"/>
      <c r="Q15" s="36"/>
      <c r="T15" s="36"/>
      <c r="U15" s="36"/>
      <c r="V15" s="36"/>
      <c r="W15" s="36"/>
      <c r="X15" s="36"/>
      <c r="Y15" s="36"/>
      <c r="Z15" s="36"/>
      <c r="AA15" s="36"/>
      <c r="AB15" s="36"/>
      <c r="AC15" s="36"/>
      <c r="AD15" s="36"/>
    </row>
    <row r="16" spans="2:30" s="36" customFormat="1" ht="29.25" customHeight="1" x14ac:dyDescent="0.2">
      <c r="B16" s="40">
        <f t="shared" si="0"/>
        <v>4</v>
      </c>
      <c r="C16" s="605" t="str">
        <f>IF($L$5="Deutsch","Aussenmasse BEFÜLLT:",IF($L$5="English","Ext. dimensions FILLED:",IF($L$5="Français","Ext. dimensions UM PLEIN:",IF($L$5="Portugues","Dim. exteriores CHEIO:",IF($L$5="中文","装满的包装外部尺寸:")))))</f>
        <v>Ext. dimensions FILLED:</v>
      </c>
      <c r="D16" s="605"/>
      <c r="E16" s="605"/>
      <c r="F16" s="605"/>
      <c r="G16" s="605" t="str">
        <f>IF($L$5="Deutsch","Definition von Aussendimensionen von einer vollen versandbereiten Verpackungseinheit",IF($L$5="English","Specification of outer dimensions of a filled Loading Unit ready for dispatch",IF($L$5="Français","Dimensions extérieures d'un emballage plein prèt à être expédié",IF($L$5="Portugues","Especificação de dimensões exteriores de um cheio de uma embalagem cheai pronta para  a expedição",IF($L$5="中文","Specification of outer dimensions of a filled Loading Unit ready for dispatch")))))</f>
        <v>Specification of outer dimensions of a filled Loading Unit ready for dispatch</v>
      </c>
      <c r="H16" s="605"/>
      <c r="I16" s="605"/>
      <c r="J16" s="605"/>
      <c r="K16" s="605"/>
      <c r="L16" s="605"/>
      <c r="M16" s="605"/>
      <c r="N16" s="605"/>
      <c r="O16" s="605"/>
    </row>
    <row r="17" spans="2:15" s="36" customFormat="1" ht="29.25" customHeight="1" x14ac:dyDescent="0.2">
      <c r="B17" s="40">
        <f t="shared" si="0"/>
        <v>5</v>
      </c>
      <c r="C17" s="605" t="str">
        <f>IF($L$5="Deutsch","Aussenmasse LEER:",IF($L$5="English","Ext. dimensions EMPTY:",IF($L$5="Français","Ext. dimensions UM VIDE:",IF($L$5="Portugues","Dim. exteriores VAZIO:",IF($L$5="中文","空包装的外部尺寸:")))))</f>
        <v>Ext. dimensions EMPTY:</v>
      </c>
      <c r="D17" s="605"/>
      <c r="E17" s="605"/>
      <c r="F17" s="605"/>
      <c r="G17" s="605" t="str">
        <f>IF($L$5="Deutsch","Definition von Aussendimensionen von einer leeren versandbereiten Verpackungseinheit",IF($L$5="English","Specification of outer dimensions of a empty Loading Unit ready for dispatch",IF($L$5="Français","Dimensions extérieures d'un emballage vide prèt à être expédié",IF($L$5="Portugues","Especificação de dimensões exteriores de uma embalagem vazia pronta para expedição",IF($L$5="中文","Specification of outer dimensions of a empty Loading Unit ready for dispatch")))))</f>
        <v>Specification of outer dimensions of a empty Loading Unit ready for dispatch</v>
      </c>
      <c r="H17" s="605"/>
      <c r="I17" s="605"/>
      <c r="J17" s="605"/>
      <c r="K17" s="605"/>
      <c r="L17" s="605"/>
      <c r="M17" s="605"/>
      <c r="N17" s="605"/>
      <c r="O17" s="605"/>
    </row>
    <row r="18" spans="2:15" s="36" customFormat="1" ht="36.75" customHeight="1" x14ac:dyDescent="0.2">
      <c r="B18" s="40">
        <f t="shared" si="0"/>
        <v>6</v>
      </c>
      <c r="C18" s="605" t="str">
        <f>IF($L$5="Deutsch","Füllmenge/Ladeeinheit:",IF($L$5="English","Filling qty / Handling Unit:",IF($L$5="Français","Pièce/Unité d'emballage:",IF($L$5="Portugues","Peças/Embalagem (opcional):",IF($L$5="中文","零件数量/包装单元：")))))</f>
        <v>Filling qty / Handling Unit:</v>
      </c>
      <c r="D18" s="605"/>
      <c r="E18" s="605"/>
      <c r="F18" s="605"/>
      <c r="G18" s="605" t="str">
        <f>IF($L$5="Deutsch","Anzahl der Komponenten pro Verpackungseinheit, d.h. Anzahl Container/Boxen x Anzahl Verpackungseinheiten",IF($L$5="English","Number of components in one Handling unit, which means Number of Container/Box x Number of Handling Units",IF($L$5="Français","Quantité de composants par unités d'emballage, c.a.d. Quantité de container/boite x unités de manutention",IF($L$5="Portugues","Número de componentes por pallet, o que significa número de embalagem/pallet",IF($L$5="中文","Number of components in one Handling unit, which means Number of Container/Box x Number of Handling Units")))))</f>
        <v>Number of components in one Handling unit, which means Number of Container/Box x Number of Handling Units</v>
      </c>
      <c r="H18" s="605"/>
      <c r="I18" s="605"/>
      <c r="J18" s="605"/>
      <c r="K18" s="605"/>
      <c r="L18" s="605"/>
      <c r="M18" s="605"/>
      <c r="N18" s="605"/>
      <c r="O18" s="605"/>
    </row>
    <row r="19" spans="2:15" s="36" customFormat="1" ht="29.25" customHeight="1" x14ac:dyDescent="0.2">
      <c r="B19" s="40">
        <f t="shared" si="0"/>
        <v>7</v>
      </c>
      <c r="C19" s="605" t="str">
        <f>IF($L$5="Deutsch","Füllmenge (Packstk./Box):",IF($L$5="English","Filling qty (Container/Box):",IF($L$5="Français","Pièce/Unité de manutention:",IF($L$5="Portugues","Quantidade de enchimento (Container/Box):",IF($L$5="中文","零件数量/箱：")))))</f>
        <v>Filling qty (Container/Box):</v>
      </c>
      <c r="D19" s="605"/>
      <c r="E19" s="605"/>
      <c r="F19" s="605"/>
      <c r="G19" s="605" t="str">
        <f>IF($L$5="Deutsch","Anzahl der Komponenten pro Container/Box",IF($L$5="English","Number of components per Container/Box",IF($L$5="Français","Quantité de composants par container/boite",IF($L$5="Portugues","Numero de componentes em cada embalagem",IF($L$5="中文","Number of components per Container/Box")))))</f>
        <v>Number of components per Container/Box</v>
      </c>
      <c r="H19" s="605"/>
      <c r="I19" s="605"/>
      <c r="J19" s="605"/>
      <c r="K19" s="605"/>
      <c r="L19" s="605"/>
      <c r="M19" s="605"/>
      <c r="N19" s="605"/>
      <c r="O19" s="605"/>
    </row>
    <row r="20" spans="2:15" s="36" customFormat="1" ht="29.25" customHeight="1" x14ac:dyDescent="0.2">
      <c r="B20" s="40">
        <f t="shared" si="0"/>
        <v>8</v>
      </c>
      <c r="C20" s="605" t="str">
        <f>IF($L$5="Deutsch","Bezeichnung Verpackungsbestandteile:",IF($L$5="English","Designation/description packaging components:",IF($L$5="Français","Désignation composition de lèmballage",IF($L$5="Portugues","Descrição composição da embalagem:",IF($L$5="中文","包装材料名称或描述")))))</f>
        <v>Designation/description packaging components:</v>
      </c>
      <c r="D20" s="605"/>
      <c r="E20" s="605"/>
      <c r="F20" s="605"/>
      <c r="G20" s="605" t="str">
        <f>IF($L$5="Deutsch","Angabe der Verpackungskomponenten, welche eingesetzt werden (z.B. Palette, Holzkiste, Layer, Label...)",IF($L$5="English","Packaging components which will be used need to be listed (e.g. pallet, wooden box, trays, labelling,…)",IF($L$5="Français","Composants d'emballage qui seront utilisés (par ex. palette, caisse en bois, layer, étiquettes...)",IF($L$5="Portugues","Os componentes de embalagens que serão utilizados devem ser listados (por exemplo, pallet, caixa de madeira, bandejas, etiquetagem, ...)",IF($L$5="中文","Packaging components which will be used need to be listed (e.g. pallet, wooden box, trays, labelling,…)")))))</f>
        <v>Packaging components which will be used need to be listed (e.g. pallet, wooden box, trays, labelling,…)</v>
      </c>
      <c r="H20" s="605"/>
      <c r="I20" s="605"/>
      <c r="J20" s="605"/>
      <c r="K20" s="605"/>
      <c r="L20" s="605"/>
      <c r="M20" s="605"/>
      <c r="N20" s="605"/>
      <c r="O20" s="605"/>
    </row>
    <row r="21" spans="2:15" s="36" customFormat="1" ht="29.25" customHeight="1" x14ac:dyDescent="0.2">
      <c r="B21" s="40">
        <f t="shared" si="0"/>
        <v>9</v>
      </c>
      <c r="C21" s="605" t="str">
        <f>IF($L$5="Deutsch","1=Einweg                                                                                2=Mehrweg",IF($L$5="English","1= OneWay                                                                                                   2=Returnable",IF($L$5="Français","1 =Perdus                                                                                                                             2=Réutilis:",IF($L$5="Portugues","1= Descatavel                                                                                    2=Retornavel",IF($L$5="中文","1=不可回收               2=可回收")))))</f>
        <v>1= OneWay                                                                                                   2=Returnable</v>
      </c>
      <c r="D21" s="605"/>
      <c r="E21" s="605"/>
      <c r="F21" s="605"/>
      <c r="G21" s="605" t="str">
        <f>IF($L$5="Deutsch","Auswählen von 1 oder 2 für die entsprechende Verpackungseinheit in dieser Spalte",IF($L$5="English","Select 1 or 2 for each packaging component in this column",IF($L$5="Français","Sélectioner 1 ou 2 pour chaque élément d'emballage dans cette colonne",IF($L$5="Portugues","Selecione 1 ou 2 para cada componente da embalagem nesta coluna",IF($L$5="中文","Select 1 or 2 for each packaging component in this column")))))</f>
        <v>Select 1 or 2 for each packaging component in this column</v>
      </c>
      <c r="H21" s="605"/>
      <c r="I21" s="605"/>
      <c r="J21" s="605"/>
      <c r="K21" s="605"/>
      <c r="L21" s="605"/>
      <c r="M21" s="605"/>
      <c r="N21" s="605"/>
      <c r="O21" s="605"/>
    </row>
    <row r="22" spans="2:15" s="36" customFormat="1" ht="29.25" customHeight="1" x14ac:dyDescent="0.2">
      <c r="B22" s="40">
        <f t="shared" si="0"/>
        <v>10</v>
      </c>
      <c r="C22" s="605" t="str">
        <f>IF($L$5="Deutsch","Verpackungslieferant",IF($L$5="English","Packaging supplier",IF($L$5="Français","Fournissuer dèmballage",IF($L$5="Portugues","Fornecedor embalagem",IF($L$5="中文","包装材料供应商")))))</f>
        <v>Packaging supplier</v>
      </c>
      <c r="D22" s="605"/>
      <c r="E22" s="605"/>
      <c r="F22" s="605"/>
      <c r="G22" s="605" t="str">
        <f>IF($L$5="Deutsch","Spezifikation vom Verpackungslieferant für diese Verpackungskomponente",IF($L$5="English","Specification of packaging supplier for this packaging component",IF($L$5="Français","Indiquez le fournisseur d'emballage pour cet élément d'emballage",IF($L$5="Portugues","Especificação do fornecedor da embalagem para este componente de embalagem",IF($L$5="中文","Specification of packaging supplier for this packaging component")))))</f>
        <v>Specification of packaging supplier for this packaging component</v>
      </c>
      <c r="H22" s="605"/>
      <c r="I22" s="605"/>
      <c r="J22" s="605"/>
      <c r="K22" s="605"/>
      <c r="L22" s="605"/>
      <c r="M22" s="605"/>
      <c r="N22" s="605"/>
      <c r="O22" s="605"/>
    </row>
    <row r="23" spans="2:15" s="36" customFormat="1" ht="29.25" customHeight="1" x14ac:dyDescent="0.2">
      <c r="B23" s="40">
        <f t="shared" si="0"/>
        <v>11</v>
      </c>
      <c r="C23" s="605" t="str">
        <f>IF($L$5="Deutsch","Anzahl / LE",IF($L$5="English","Number / HU",IF($L$5="Français","Nombre / UM",IF($L$5="Portugues","Quantidade/UT",IF($L$5="中文","使用数量/包装单元")))))</f>
        <v>Number / HU</v>
      </c>
      <c r="D23" s="605"/>
      <c r="E23" s="605"/>
      <c r="F23" s="605"/>
      <c r="G23" s="605" t="str">
        <f>IF($L$5="Deutsch","Spezifikation der Menge Verpackungseinheiten pro Verpackungskomponente",IF($L$5="English","Please specify the number of packaging units each packaging component",IF($L$5="Français","Indiquez le fournisseur d'emballage pour cet élément d'emballage",IF($L$5="Portugues","Por favor, especifique o número de unidades de embalagem de cada componente da embalagem",IF($L$5="中文","Please specify the number of packaging units each packaging component")))))</f>
        <v>Please specify the number of packaging units each packaging component</v>
      </c>
      <c r="H23" s="605"/>
      <c r="I23" s="605"/>
      <c r="J23" s="605"/>
      <c r="K23" s="605"/>
      <c r="L23" s="605"/>
      <c r="M23" s="605"/>
      <c r="N23" s="605"/>
      <c r="O23" s="605"/>
    </row>
    <row r="24" spans="2:15" s="36" customFormat="1" ht="29.25" customHeight="1" x14ac:dyDescent="0.2">
      <c r="B24" s="40">
        <f t="shared" si="0"/>
        <v>12</v>
      </c>
      <c r="C24" s="605" t="str">
        <f>IF($L$5="Deutsch","Preis/Stück",IF($L$5="English","Price/pcs",IF($L$5="Français","Prix/pièce:",IF($L$5="Portugues","Preço/peça",IF($L$5="中文","价格/件")))))</f>
        <v>Price/pcs</v>
      </c>
      <c r="D24" s="605"/>
      <c r="E24" s="605"/>
      <c r="F24" s="605"/>
      <c r="G24" s="605" t="str">
        <f>IF($L$5="Deutsch","Angabe des Preises pro Verpackungseinheit",IF($L$5="English","Please specify the price per packaging unit",IF($L$5="Français","Prix d'une unité d'emballage (packaging unit)",IF($L$5="Portugues","Favor especificar o preço por unidade de embalagem",IF($L$5="中文","Please specify the price per packaging unit")))))</f>
        <v>Please specify the price per packaging unit</v>
      </c>
      <c r="H24" s="605"/>
      <c r="I24" s="605"/>
      <c r="J24" s="605"/>
      <c r="K24" s="605"/>
      <c r="L24" s="605"/>
      <c r="M24" s="605"/>
      <c r="N24" s="605"/>
      <c r="O24" s="605"/>
    </row>
    <row r="25" spans="2:15" s="36" customFormat="1" ht="29.25" customHeight="1" x14ac:dyDescent="0.2">
      <c r="B25" s="40">
        <f t="shared" si="0"/>
        <v>13</v>
      </c>
      <c r="C25" s="605" t="str">
        <f>IF($L$5="Deutsch","Werkzeugkosten Verpackung:",IF($L$5="English","Tooling costs Packaging:",IF($L$5="Français","Coût outillage d'emballage:",IF($L$5="Portugues","Custo do ferramental de embalagem:",IF($L$5="中文","包装工具成本：")))))</f>
        <v>Tooling costs Packaging:</v>
      </c>
      <c r="D25" s="605"/>
      <c r="E25" s="605"/>
      <c r="F25" s="605"/>
      <c r="G25" s="605" t="str">
        <f>IF($L$5="Deutsch","Angabe der Werkzeugkosten für Mehrwegverpackung",IF($L$5="English","Specification of tooling costs for returnable packagaing",IF($L$5="Français","Prix des outillages pour les emballages réutilisables",IF($L$5="Portugues","Especificação dos custos de ferramental para embalagens retornáveis",IF($L$5="中文","Specification of tooling costs for returnable packagaing")))))</f>
        <v>Specification of tooling costs for returnable packagaing</v>
      </c>
      <c r="H25" s="605"/>
      <c r="I25" s="605"/>
      <c r="J25" s="605"/>
      <c r="K25" s="605"/>
      <c r="L25" s="605"/>
      <c r="M25" s="605"/>
      <c r="N25" s="605"/>
      <c r="O25" s="605"/>
    </row>
    <row r="26" spans="2:15" s="36" customFormat="1" ht="30" customHeight="1" x14ac:dyDescent="0.2">
      <c r="B26" s="619">
        <f>B25+1</f>
        <v>14</v>
      </c>
      <c r="C26" s="621" t="str">
        <f>IF($L$5="Deutsch","Bedarf Mehrwegverpackung (in Tagen):",IF($L$5="English","Demand Returnable dunnage (days):",IF($L$5="Français","Besoins en emballage réutilisable (jours):",IF($L$5="Portugues","Requer embalagem reutilisavel (dias):",IF($L$5="中文","周转时间（天）：")))))</f>
        <v>Demand Returnable dunnage (days):</v>
      </c>
      <c r="D26" s="622"/>
      <c r="E26" s="622"/>
      <c r="F26" s="623"/>
      <c r="G26" s="616" t="str">
        <f>IF($L$5="Deutsch","Umlauftage basieren auf der jährlichen Abrufmenge sowie Anzahl von Umlauftagen",IF($L$5="English","Loop days are based on the planned annual volume as well as the amount of days",IF($L$5="Français","Temps de rotation total en jours calculé en fonction des appels annuels ",IF($L$5="Portugues","O intervalo de dias são baseados no volume anual previsto, bem como a quantidade de dias",IF($L$5="中文","Loop days are based on the planned annual volume as well as the amount of days ")))))</f>
        <v>Loop days are based on the planned annual volume as well as the amount of days</v>
      </c>
      <c r="H26" s="617"/>
      <c r="I26" s="617"/>
      <c r="J26" s="617"/>
      <c r="K26" s="617"/>
      <c r="L26" s="617"/>
      <c r="M26" s="617"/>
      <c r="N26" s="617"/>
      <c r="O26" s="618"/>
    </row>
    <row r="27" spans="2:15" s="36" customFormat="1" ht="32.25" customHeight="1" x14ac:dyDescent="0.2">
      <c r="B27" s="620"/>
      <c r="C27" s="624"/>
      <c r="D27" s="625"/>
      <c r="E27" s="625"/>
      <c r="F27" s="626"/>
      <c r="G27" s="605" t="str">
        <f>IF($L$5="Deutsch","die eine Verpackungseinheit einen kompletten Rundlauf Lieferant-Kunde-Lieferant durchläuft.",IF($L$5="English","of which a Loading Unit will complete circle between supplier-customer-supplier.",IF($L$5="Français","ainsi que du temps nécessaire pour un emballage pour réaliser la rotation complète fournisseur-client-fournisseur.",IF($L$5="Portugues","que uma embalagem complete o ciclo entre fornecedor-cliente-fornecedor.",IF($L$5="中文","of which a Loading Unit will complete circle between supplier-customer-supplier.")))))</f>
        <v>of which a Loading Unit will complete circle between supplier-customer-supplier.</v>
      </c>
      <c r="H27" s="605"/>
      <c r="I27" s="605"/>
      <c r="J27" s="605"/>
      <c r="K27" s="605"/>
      <c r="L27" s="605"/>
      <c r="M27" s="605"/>
      <c r="N27" s="605"/>
      <c r="O27" s="605"/>
    </row>
    <row r="28" spans="2:15" s="36" customFormat="1" ht="29.25" customHeight="1" x14ac:dyDescent="0.2">
      <c r="B28" s="40">
        <f>B26+1</f>
        <v>15</v>
      </c>
      <c r="C28" s="605" t="str">
        <f>IF($L$5="Deutsch","Schwund / Defekte (%):",IF($L$5="English","Diminished / Defects (%):",IF($L$5="Français","Pertes, défauts:",IF($L$5="Portugues","Redução / Defeitos (%):",IF($L$5="中文","破损率（%）：")))))</f>
        <v>Diminished / Defects (%):</v>
      </c>
      <c r="D28" s="605"/>
      <c r="E28" s="605"/>
      <c r="F28" s="605"/>
      <c r="G28" s="605" t="str">
        <f>IF($L$5="Deutsch","Beschädigungen/Verlust in x % pro Anzahl für ein Jahr über eine bestimmte Laufzeit",IF($L$5="English","Damage, Loss in x % provided per amout per year over the entire runtime",IF($L$5="Français","Pertes, défauts (casse, emdommagement,...)en % par quantité par an pour la durée du projet",IF($L$5="Portugues","Perdas e Danos, em x% previsto por montante por ano, durante todo o tempo de execução",IF($L$5="中文","Damage, Loss in x % provided per amout per year over the entire runtime")))))</f>
        <v>Damage, Loss in x % provided per amout per year over the entire runtime</v>
      </c>
      <c r="H28" s="605"/>
      <c r="I28" s="605"/>
      <c r="J28" s="605"/>
      <c r="K28" s="605"/>
      <c r="L28" s="605"/>
      <c r="M28" s="605"/>
      <c r="N28" s="605"/>
      <c r="O28" s="605"/>
    </row>
    <row r="29" spans="2:15" s="36" customFormat="1" ht="29.25" customHeight="1" x14ac:dyDescent="0.2">
      <c r="B29" s="40">
        <f t="shared" si="0"/>
        <v>16</v>
      </c>
      <c r="C29" s="605" t="str">
        <f>IF($L$5="Deutsch","Zinssatz (%):",IF($L$5="English","Interest (%):",IF($L$5="Français","Intérets (%):",IF($L$5="Portugues","Jinos (%):",IF($L$5="中文","利率（%）")))))</f>
        <v>Interest (%):</v>
      </c>
      <c r="D29" s="605"/>
      <c r="E29" s="605"/>
      <c r="F29" s="605"/>
      <c r="G29" s="605" t="str">
        <f>IF($L$5="Deutsch","Zinssatz für Mehrwegverpackung",IF($L$5="English","Interest rate for returnable packaging",IF($L$5="Français","Taux d'intérets pour les emballages réutilisables",IF($L$5="Portugues","Taxa de juros para as embalagens retornáveis",IF($L$5="中文","Interest rate for returnable packaging")))))</f>
        <v>Interest rate for returnable packaging</v>
      </c>
      <c r="H29" s="605"/>
      <c r="I29" s="605"/>
      <c r="J29" s="605"/>
      <c r="K29" s="605"/>
      <c r="L29" s="605"/>
      <c r="M29" s="605"/>
      <c r="N29" s="605"/>
      <c r="O29" s="605"/>
    </row>
    <row r="30" spans="2:15" s="36" customFormat="1" ht="29.25" customHeight="1" x14ac:dyDescent="0.2">
      <c r="B30" s="40">
        <f t="shared" si="0"/>
        <v>17</v>
      </c>
      <c r="C30" s="605" t="str">
        <f>IF($L$5="Deutsch","Kommentare",IF($L$5="English","Comments",IF($L$5="Français","Commentaire",IF($L$5="Portugues","Comentários",IF($L$5="中文","注释")))))</f>
        <v>Comments</v>
      </c>
      <c r="D30" s="605"/>
      <c r="E30" s="605"/>
      <c r="F30" s="605"/>
      <c r="G30" s="605" t="str">
        <f>IF($L$5="Deutsch","Kommentare zum Verpackungskonzept (z.B: Ablauf der Teileverpackung,..)",IF($L$5="English","Comments on the packaging concept (i.e. description of packaging procedure)",IF($L$5="Français","Commentaires sur le concept d'emballage (par ex.: description du processus d'emballage,..)",IF($L$5="Portugues","Comentários sobre o conceito de embalagem (isto é,descrição do processo de embalagem)",IF($L$5="中文","Comments on the packaging concept (i.e. description of packaging procedure)")))))</f>
        <v>Comments on the packaging concept (i.e. description of packaging procedure)</v>
      </c>
      <c r="H30" s="605"/>
      <c r="I30" s="605"/>
      <c r="J30" s="605"/>
      <c r="K30" s="605"/>
      <c r="L30" s="605"/>
      <c r="M30" s="605"/>
      <c r="N30" s="605"/>
      <c r="O30" s="605"/>
    </row>
    <row r="31" spans="2:15" s="36" customFormat="1" ht="29.25" customHeight="1" x14ac:dyDescent="0.2">
      <c r="B31" s="40">
        <f t="shared" si="0"/>
        <v>18</v>
      </c>
      <c r="C31" s="605" t="str">
        <f>IF($L$5="Deutsch","Freigabe Extern",IF($L$5="English","External Release",IF($L$5="Français","Libération Externe",IF($L$5="Portugues","Liberação externa ",IF($L$5="中文","外部许可")))))</f>
        <v>External Release</v>
      </c>
      <c r="D31" s="605"/>
      <c r="E31" s="605"/>
      <c r="F31" s="605"/>
      <c r="G31" s="605" t="str">
        <f>IF($L$5="Deutsch","Unterschrift vom Lieferanten/Kunden",IF($L$5="English","Signature of the supplier/customer",IF($L$5="Français","Signature du fournisseur/client",IF($L$5="Portugues","Assinatura do fornecedor / cliente",IF($L$5="中文","Signature of the supplier/customer")))))</f>
        <v>Signature of the supplier/customer</v>
      </c>
      <c r="H31" s="605"/>
      <c r="I31" s="605"/>
      <c r="J31" s="605"/>
      <c r="K31" s="605"/>
      <c r="L31" s="605"/>
      <c r="M31" s="605"/>
      <c r="N31" s="605"/>
      <c r="O31" s="605"/>
    </row>
    <row r="32" spans="2:15" ht="30" customHeight="1" x14ac:dyDescent="0.2">
      <c r="B32" s="40">
        <f>B31+1</f>
        <v>19</v>
      </c>
      <c r="C32" s="605" t="str">
        <f>IF($L$5="Deutsch","Notfallverpackung",IF($L$5="English","Emergency Packaging",IF($L$5="Français","L'emballage d'urgence",IF($L$5="Portugues","Embalagem de emergêcia",IF($L$5="中文","紧急状况采用的临时包装")))))</f>
        <v>Emergency Packaging</v>
      </c>
      <c r="D32" s="605"/>
      <c r="E32" s="605"/>
      <c r="F32" s="605"/>
      <c r="G32" s="605" t="str">
        <f>IF($L$5="Deutsch","Spezifizierung, ob eine Notfallverpackung verwendet wird. Wenn nicht bitte auch angeben",IF($L$5="English","Specify if an emergency packaging is in place or not. If an emergency packaging will be not in place also please specify.",IF($L$5="Français","Indiquez si un emballage d'urgenge sera utilisé. Si ce n'est pas le cas veuillez également l'indiquer",IF($L$5="Portugues","Especificar se uma embalagem de emergência será enviada no lugar ou não. Se uma embalagem de emergência não será enviada no lugar também especificar.",IF($L$5="中文","Specify if an emergency packaging is in place or not. If an emergency packaging will be not in place also please specify.")))))</f>
        <v>Specify if an emergency packaging is in place or not. If an emergency packaging will be not in place also please specify.</v>
      </c>
      <c r="H32" s="605"/>
      <c r="I32" s="605"/>
      <c r="J32" s="605"/>
      <c r="K32" s="605"/>
      <c r="L32" s="605"/>
      <c r="M32" s="605"/>
      <c r="N32" s="605"/>
      <c r="O32" s="605"/>
    </row>
  </sheetData>
  <sheetProtection selectLockedCells="1"/>
  <mergeCells count="45">
    <mergeCell ref="B8:O9"/>
    <mergeCell ref="G13:O13"/>
    <mergeCell ref="C14:F14"/>
    <mergeCell ref="G14:O14"/>
    <mergeCell ref="G16:O16"/>
    <mergeCell ref="B6:O6"/>
    <mergeCell ref="B7:O7"/>
    <mergeCell ref="B10:O10"/>
    <mergeCell ref="C32:F32"/>
    <mergeCell ref="G32:O32"/>
    <mergeCell ref="G26:O26"/>
    <mergeCell ref="C30:F30"/>
    <mergeCell ref="G30:O30"/>
    <mergeCell ref="G27:O27"/>
    <mergeCell ref="C31:F31"/>
    <mergeCell ref="B26:B27"/>
    <mergeCell ref="C26:F27"/>
    <mergeCell ref="G22:O22"/>
    <mergeCell ref="C23:F23"/>
    <mergeCell ref="G23:O23"/>
    <mergeCell ref="G31:O31"/>
    <mergeCell ref="C29:F29"/>
    <mergeCell ref="G29:O29"/>
    <mergeCell ref="B12:O12"/>
    <mergeCell ref="C24:F24"/>
    <mergeCell ref="G24:O24"/>
    <mergeCell ref="C25:F25"/>
    <mergeCell ref="G25:O25"/>
    <mergeCell ref="C21:F21"/>
    <mergeCell ref="G21:O21"/>
    <mergeCell ref="C22:F22"/>
    <mergeCell ref="G20:O20"/>
    <mergeCell ref="G17:O17"/>
    <mergeCell ref="C18:F18"/>
    <mergeCell ref="G18:O18"/>
    <mergeCell ref="C17:F17"/>
    <mergeCell ref="C15:F15"/>
    <mergeCell ref="C19:F19"/>
    <mergeCell ref="G19:O19"/>
    <mergeCell ref="C20:F20"/>
    <mergeCell ref="C13:F13"/>
    <mergeCell ref="C28:F28"/>
    <mergeCell ref="G28:O28"/>
    <mergeCell ref="G15:O15"/>
    <mergeCell ref="C16:F16"/>
  </mergeCells>
  <phoneticPr fontId="5" type="noConversion"/>
  <printOptions horizontalCentered="1"/>
  <pageMargins left="0.19685039370078741" right="0.19685039370078741" top="0.27559055118110237" bottom="0.47244094488188981" header="0.19685039370078741" footer="0.27559055118110237"/>
  <pageSetup paperSize="9" scale="70" orientation="portrait" r:id="rId1"/>
  <headerFooter alignWithMargins="0">
    <oddFooter>&amp;L&amp;8CF-00040, Version: 9.0&amp;C&amp;8Creation/Ersteller: ESC1/Sanjoy Biswas
Date/Datum: 2011-09-07&amp;R&amp;8Page:/Seite: &amp;P/&amp;N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QM Attachment" ma:contentTypeID="0x0101001A04B15882598B4BA2616C2F6EB8940C002FF982B73CA2344E8648E61A237E4094" ma:contentTypeVersion="16" ma:contentTypeDescription="Create a new list item." ma:contentTypeScope="" ma:versionID="1442fab2b590c4e48cd2f0e1a0568817">
  <xsd:schema xmlns:xsd="http://www.w3.org/2001/XMLSchema" xmlns:xs="http://www.w3.org/2001/XMLSchema" xmlns:p="http://schemas.microsoft.com/office/2006/metadata/properties" xmlns:ns2="429f2ef5-2327-4c64-b2be-df9e6663a5cb" targetNamespace="http://schemas.microsoft.com/office/2006/metadata/properties" ma:root="true" ma:fieldsID="9e06f61fbdbf68838054e6eccff17fc0" ns2:_="">
    <xsd:import namespace="429f2ef5-2327-4c64-b2be-df9e6663a5cb"/>
    <xsd:element name="properties">
      <xsd:complexType>
        <xsd:sequence>
          <xsd:element name="documentManagement">
            <xsd:complexType>
              <xsd:all>
                <xsd:element ref="ns2:qmDocumentTitleAcfPublished" minOccurs="0"/>
                <xsd:element ref="ns2:qmRecordNo" minOccurs="0"/>
                <xsd:element ref="ns2:qmRecordId" minOccurs="0"/>
                <xsd:element ref="ns2:qmDocumentIdEdit" minOccurs="0"/>
                <xsd:element ref="ns2:qmDocumentIdPublished" minOccurs="0"/>
                <xsd:element ref="ns2:qmDocumentNo" minOccurs="0"/>
                <xsd:element ref="ns2:qmDocumentTitle" minOccurs="0"/>
                <xsd:element ref="ns2:qmContentType" minOccurs="0"/>
                <xsd:element ref="ns2:qmRevisionNo" minOccurs="0"/>
                <xsd:element ref="ns2:pscBreLog" minOccurs="0"/>
                <xsd:element ref="ns2:pscMail" minOccurs="0"/>
                <xsd:element ref="ns2:qmStatus" minOccurs="0"/>
                <xsd:element ref="ns2:pscDocumentGuid" minOccurs="0"/>
                <xsd:element ref="ns2:tkAttachment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9f2ef5-2327-4c64-b2be-df9e6663a5cb" elementFormDefault="qualified">
    <xsd:import namespace="http://schemas.microsoft.com/office/2006/documentManagement/types"/>
    <xsd:import namespace="http://schemas.microsoft.com/office/infopath/2007/PartnerControls"/>
    <xsd:element name="qmDocumentTitleAcfPublished" ma:index="8" nillable="true" ma:displayName="Document Title" ma:internalName="qmDocumentTitleAcfPublished" ma:readOnly="true">
      <xsd:simpleType>
        <xsd:restriction base="dms:Unknown"/>
      </xsd:simpleType>
    </xsd:element>
    <xsd:element name="qmRecordNo" ma:index="9" nillable="true" ma:displayName="Record No" ma:indexed="true" ma:internalName="qmRecordNo">
      <xsd:simpleType>
        <xsd:restriction base="dms:Text"/>
      </xsd:simpleType>
    </xsd:element>
    <xsd:element name="qmRecordId" ma:index="10" nillable="true" ma:displayName="Record ID" ma:internalName="qmRecordId">
      <xsd:simpleType>
        <xsd:restriction base="dms:Text"/>
      </xsd:simpleType>
    </xsd:element>
    <xsd:element name="qmDocumentIdEdit" ma:index="11" nillable="true" ma:displayName="qmDocumentIdEdit" ma:internalName="qmDocumentIdEdit">
      <xsd:simpleType>
        <xsd:restriction base="dms:Text"/>
      </xsd:simpleType>
    </xsd:element>
    <xsd:element name="qmDocumentIdPublished" ma:index="12" nillable="true" ma:displayName="qmDocumentIdPublished" ma:internalName="qmDocumentIdPublished">
      <xsd:simpleType>
        <xsd:restriction base="dms:Text"/>
      </xsd:simpleType>
    </xsd:element>
    <xsd:element name="qmDocumentNo" ma:index="13" nillable="true" ma:displayName="Document No" ma:internalName="qmDocumentNo">
      <xsd:simpleType>
        <xsd:restriction base="dms:Text"/>
      </xsd:simpleType>
    </xsd:element>
    <xsd:element name="qmDocumentTitle" ma:index="14" nillable="true" ma:displayName="EN Document title" ma:internalName="qmDocumentTitle">
      <xsd:simpleType>
        <xsd:restriction base="dms:Text"/>
      </xsd:simpleType>
    </xsd:element>
    <xsd:element name="qmContentType" ma:index="15" nillable="true" ma:displayName="Content Type" ma:internalName="qmContentType">
      <xsd:simpleType>
        <xsd:restriction base="dms:Text"/>
      </xsd:simpleType>
    </xsd:element>
    <xsd:element name="qmRevisionNo" ma:index="16" nillable="true" ma:displayName="Revision No" ma:internalName="qmRevisionNo">
      <xsd:simpleType>
        <xsd:restriction base="dms:Text"/>
      </xsd:simpleType>
    </xsd:element>
    <xsd:element name="pscBreLog" ma:index="17" nillable="true" ma:displayName="pscBreLog" ma:internalName="pscBreLog">
      <xsd:simpleType>
        <xsd:restriction base="dms:Note"/>
      </xsd:simpleType>
    </xsd:element>
    <xsd:element name="pscMail" ma:index="18" nillable="true" ma:displayName="Mail" ma:internalName="pscMail" ma:readOnly="true">
      <xsd:simpleType>
        <xsd:restriction base="dms:Unknown"/>
      </xsd:simpleType>
    </xsd:element>
    <xsd:element name="qmStatus" ma:index="19" nillable="true" ma:displayName="Document Status" ma:internalName="qmStatus">
      <xsd:simpleType>
        <xsd:restriction base="dms:Text"/>
      </xsd:simpleType>
    </xsd:element>
    <xsd:element name="pscDocumentGuid" ma:index="20" nillable="true" ma:displayName="pscDocumentGuid" ma:internalName="pscDocumentGuid">
      <xsd:simpleType>
        <xsd:restriction base="dms:Text"/>
      </xsd:simpleType>
    </xsd:element>
    <xsd:element name="tkAttachmentType" ma:index="21" nillable="true" ma:displayName="Attachment Type" ma:internalName="tkAttachmentType">
      <xsd:simpleType>
        <xsd:restriction base="dms:Choice">
          <xsd:enumeration value="Original"/>
          <xsd:enumeration value="Example"/>
          <xsd:enumeration value="Misc."/>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qmRecordId xmlns="429f2ef5-2327-4c64-b2be-df9e6663a5cb">4102</qmRecordId>
    <qmRecordNo xmlns="429f2ef5-2327-4c64-b2be-df9e6663a5cb">04102</qmRecordNo>
    <qmDocumentIdEdit xmlns="429f2ef5-2327-4c64-b2be-df9e6663a5cb">8844</qmDocumentIdEdit>
    <qmDocumentTitle xmlns="429f2ef5-2327-4c64-b2be-df9e6663a5cb">Template_PDS_VDB_thyssenkrupp_Camshafts_Supplier</qmDocumentTitle>
    <qmDocumentNo xmlns="429f2ef5-2327-4c64-b2be-df9e6663a5cb">CF-00169</qmDocumentNo>
    <qmRevisionNo xmlns="429f2ef5-2327-4c64-b2be-df9e6663a5cb">1</qmRevisionNo>
    <pscBreLog xmlns="429f2ef5-2327-4c64-b2be-df9e6663a5cb" xsi:nil="true"/>
    <qmDocumentIdPublished xmlns="429f2ef5-2327-4c64-b2be-df9e6663a5cb" xsi:nil="true"/>
    <pscDocumentGuid xmlns="429f2ef5-2327-4c64-b2be-df9e6663a5cb">{03B3EBA5-E2D2-4E10-8219-22BEC609F302}</pscDocumentGuid>
    <qmStatus xmlns="429f2ef5-2327-4c64-b2be-df9e6663a5cb">Valid</qmStatus>
    <tkAttachmentType xmlns="429f2ef5-2327-4c64-b2be-df9e6663a5cb" xsi:nil="true"/>
    <qmContentType xmlns="429f2ef5-2327-4c64-b2be-df9e6663a5cb">QM Attachment</qmContentType>
    <pscMail xmlns="429f2ef5-2327-4c64-b2be-df9e6663a5cb">dms/docshare/Workspace/AttachmentsValid/04102/Template_PDS_VDB_thyssenkrupp_Camshafts_Supplier.xlsx</pscMail>
  </documentManagement>
</p:properties>
</file>

<file path=customXml/itemProps1.xml><?xml version="1.0" encoding="utf-8"?>
<ds:datastoreItem xmlns:ds="http://schemas.openxmlformats.org/officeDocument/2006/customXml" ds:itemID="{5260E727-82FC-48B2-ACB2-5C01146210FF}"/>
</file>

<file path=customXml/itemProps2.xml><?xml version="1.0" encoding="utf-8"?>
<ds:datastoreItem xmlns:ds="http://schemas.openxmlformats.org/officeDocument/2006/customXml" ds:itemID="{B98E29D9-183F-4650-B192-EACAC651FEEA}"/>
</file>

<file path=customXml/itemProps3.xml><?xml version="1.0" encoding="utf-8"?>
<ds:datastoreItem xmlns:ds="http://schemas.openxmlformats.org/officeDocument/2006/customXml" ds:itemID="{7BC568E5-BBF0-4DA4-A15F-D3011438CC3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3</vt:i4>
      </vt:variant>
    </vt:vector>
  </HeadingPairs>
  <TitlesOfParts>
    <vt:vector size="7" baseType="lpstr">
      <vt:lpstr>CF-00169_Ver. 1.0</vt:lpstr>
      <vt:lpstr>Help</vt:lpstr>
      <vt:lpstr>Example</vt:lpstr>
      <vt:lpstr>Remarks</vt:lpstr>
      <vt:lpstr>'CF-00169_Ver. 1.0'!Druckbereich</vt:lpstr>
      <vt:lpstr>Example!Druckbereich</vt:lpstr>
      <vt:lpstr>Remarks!Druckbereich</vt:lpstr>
    </vt:vector>
  </TitlesOfParts>
  <Company>ThyssenKrupp Presta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bissan</dc:creator>
  <cp:lastModifiedBy>Thurnheer, Petra</cp:lastModifiedBy>
  <cp:lastPrinted>2015-10-21T06:02:31Z</cp:lastPrinted>
  <dcterms:created xsi:type="dcterms:W3CDTF">2009-07-23T10:42:37Z</dcterms:created>
  <dcterms:modified xsi:type="dcterms:W3CDTF">2016-11-24T10:37:42Z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0x0101001A04B15882598B4BA2616C2F6EB8940C002FF982B73CA2344E8648E61A237E4094</vt:lpwstr>
  </property>
</Properties>
</file>